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F:\_Transportation\Safety\CSAP - Comprehensive Safety Action Plan\Deliverables\"/>
    </mc:Choice>
  </mc:AlternateContent>
  <xr:revisionPtr revIDLastSave="0" documentId="8_{CFC5001E-46D2-481C-A68E-E468D4A87508}" xr6:coauthVersionLast="47" xr6:coauthVersionMax="47" xr10:uidLastSave="{00000000-0000-0000-0000-000000000000}"/>
  <bookViews>
    <workbookView xWindow="-38520" yWindow="-3630" windowWidth="38640" windowHeight="21120" firstSheet="1" activeTab="1" xr2:uid="{E047941A-061C-4779-BE72-AF014BB1F778}"/>
  </bookViews>
  <sheets>
    <sheet name="User Guide (READ FIRST)" sheetId="7" r:id="rId1"/>
    <sheet name="BCA TriCounty" sheetId="1" r:id="rId2"/>
    <sheet name="BCA Peoria" sheetId="6" r:id="rId3"/>
    <sheet name="BCA Tazewell" sheetId="4" r:id="rId4"/>
    <sheet name="BCA Woodford" sheetId="5" r:id="rId5"/>
    <sheet name="Improvement Types" sheetId="2" r:id="rId6"/>
    <sheet name="Crash Data" sheetId="3" r:id="rId7"/>
    <sheet name="Crash Costs" sheetId="10" r:id="rId8"/>
  </sheet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6" i="5" l="1" a="1"/>
  <c r="B26" i="5" s="1"/>
  <c r="A26" i="5" a="1"/>
  <c r="A26" i="5" s="1"/>
  <c r="B26" i="4" a="1"/>
  <c r="B26" i="4" s="1"/>
  <c r="A26" i="4" a="1"/>
  <c r="A26" i="4" s="1"/>
  <c r="B26" i="6" a="1"/>
  <c r="B26" i="6" s="1"/>
  <c r="A26" i="6" a="1"/>
  <c r="A26" i="6" s="1"/>
  <c r="B26" i="1" a="1"/>
  <c r="B26" i="1" s="1"/>
  <c r="A26" i="1" a="1"/>
  <c r="A26" i="1" s="1"/>
  <c r="C5" i="5"/>
  <c r="C6" i="5"/>
  <c r="C7" i="5"/>
  <c r="C8" i="5"/>
  <c r="C9" i="5"/>
  <c r="C10" i="5"/>
  <c r="C11" i="5"/>
  <c r="C12" i="5"/>
  <c r="C13" i="5"/>
  <c r="C14" i="5"/>
  <c r="C15" i="5"/>
  <c r="C16" i="5"/>
  <c r="C17" i="5"/>
  <c r="C18" i="5"/>
  <c r="C19" i="5"/>
  <c r="C20" i="5"/>
  <c r="C21" i="5"/>
  <c r="C22" i="5"/>
  <c r="C4" i="5"/>
  <c r="C5" i="4"/>
  <c r="C6" i="4"/>
  <c r="C7" i="4"/>
  <c r="C8" i="4"/>
  <c r="C9" i="4"/>
  <c r="C10" i="4"/>
  <c r="C11" i="4"/>
  <c r="C12" i="4"/>
  <c r="C13" i="4"/>
  <c r="C14" i="4"/>
  <c r="C15" i="4"/>
  <c r="C16" i="4"/>
  <c r="C17" i="4"/>
  <c r="C18" i="4"/>
  <c r="C19" i="4"/>
  <c r="C20" i="4"/>
  <c r="C21" i="4"/>
  <c r="C22" i="4"/>
  <c r="C4" i="4"/>
  <c r="C5" i="6"/>
  <c r="C6" i="6"/>
  <c r="C7" i="6"/>
  <c r="C8" i="6"/>
  <c r="C9" i="6"/>
  <c r="C10" i="6"/>
  <c r="C11" i="6"/>
  <c r="C12" i="6"/>
  <c r="C13" i="6"/>
  <c r="C14" i="6"/>
  <c r="C15" i="6"/>
  <c r="C16" i="6"/>
  <c r="C17" i="6"/>
  <c r="C18" i="6"/>
  <c r="C19" i="6"/>
  <c r="C20" i="6"/>
  <c r="C21" i="6"/>
  <c r="C22" i="6"/>
  <c r="C4" i="6"/>
  <c r="C5" i="1"/>
  <c r="C6" i="1"/>
  <c r="C7" i="1"/>
  <c r="C8" i="1"/>
  <c r="C9" i="1"/>
  <c r="C10" i="1"/>
  <c r="C11" i="1"/>
  <c r="C12" i="1"/>
  <c r="C13" i="1"/>
  <c r="C14" i="1"/>
  <c r="C15" i="1"/>
  <c r="C16" i="1"/>
  <c r="C17" i="1"/>
  <c r="C18" i="1"/>
  <c r="C19" i="1"/>
  <c r="C20" i="1"/>
  <c r="C21" i="1"/>
  <c r="C22" i="1"/>
  <c r="C4" i="1"/>
  <c r="C9" i="2"/>
  <c r="J3" i="2"/>
  <c r="C15" i="2"/>
  <c r="L4" i="5" s="1"/>
  <c r="O4" i="5" s="1"/>
  <c r="C25" i="2"/>
  <c r="C31" i="2"/>
  <c r="M22" i="1"/>
  <c r="L22" i="1"/>
  <c r="O22" i="1" s="1"/>
  <c r="M21" i="1"/>
  <c r="L21" i="1"/>
  <c r="O21" i="1" s="1"/>
  <c r="M20" i="1"/>
  <c r="L20" i="1"/>
  <c r="O20" i="1" s="1"/>
  <c r="M19" i="1"/>
  <c r="L19" i="1"/>
  <c r="O19" i="1" s="1"/>
  <c r="M18" i="1"/>
  <c r="L18" i="1"/>
  <c r="O18" i="1" s="1"/>
  <c r="M17" i="1"/>
  <c r="L17" i="1"/>
  <c r="O17" i="1" s="1"/>
  <c r="M16" i="1"/>
  <c r="L16" i="1"/>
  <c r="O16" i="1" s="1"/>
  <c r="M15" i="1"/>
  <c r="L15" i="1"/>
  <c r="O15" i="1" s="1"/>
  <c r="M14" i="1"/>
  <c r="L14" i="1"/>
  <c r="O14" i="1" s="1"/>
  <c r="M13" i="1"/>
  <c r="L13" i="1"/>
  <c r="O13" i="1" s="1"/>
  <c r="M12" i="1"/>
  <c r="L12" i="1"/>
  <c r="O12" i="1" s="1"/>
  <c r="M11" i="1"/>
  <c r="L11" i="1"/>
  <c r="O11" i="1" s="1"/>
  <c r="M10" i="1"/>
  <c r="L10" i="1"/>
  <c r="O10" i="1" s="1"/>
  <c r="M9" i="1"/>
  <c r="L9" i="1"/>
  <c r="O9" i="1" s="1"/>
  <c r="M8" i="1"/>
  <c r="L8" i="1"/>
  <c r="O8" i="1" s="1"/>
  <c r="M7" i="1"/>
  <c r="L7" i="1"/>
  <c r="O7" i="1" s="1"/>
  <c r="M6" i="1"/>
  <c r="L6" i="1"/>
  <c r="O6" i="1" s="1"/>
  <c r="M5" i="1"/>
  <c r="L5" i="1"/>
  <c r="O5" i="1" s="1"/>
  <c r="M4" i="1"/>
  <c r="L4" i="1"/>
  <c r="O4" i="1" s="1"/>
  <c r="M22" i="5"/>
  <c r="L22" i="5"/>
  <c r="O22" i="5" s="1"/>
  <c r="J22" i="5"/>
  <c r="K22" i="5" s="1"/>
  <c r="P22" i="5" s="1"/>
  <c r="M21" i="5"/>
  <c r="L21" i="5"/>
  <c r="O21" i="5" s="1"/>
  <c r="J21" i="5"/>
  <c r="K21" i="5" s="1"/>
  <c r="P21" i="5" s="1"/>
  <c r="M20" i="5"/>
  <c r="L20" i="5"/>
  <c r="O20" i="5" s="1"/>
  <c r="J20" i="5"/>
  <c r="K20" i="5" s="1"/>
  <c r="P20" i="5" s="1"/>
  <c r="M19" i="5"/>
  <c r="L19" i="5"/>
  <c r="O19" i="5" s="1"/>
  <c r="J19" i="5"/>
  <c r="K19" i="5" s="1"/>
  <c r="P19" i="5" s="1"/>
  <c r="M18" i="5"/>
  <c r="L18" i="5"/>
  <c r="O18" i="5" s="1"/>
  <c r="J18" i="5"/>
  <c r="K18" i="5" s="1"/>
  <c r="P18" i="5" s="1"/>
  <c r="M17" i="5"/>
  <c r="L17" i="5"/>
  <c r="O17" i="5" s="1"/>
  <c r="J17" i="5"/>
  <c r="K17" i="5" s="1"/>
  <c r="P17" i="5" s="1"/>
  <c r="M16" i="5"/>
  <c r="L16" i="5"/>
  <c r="O16" i="5" s="1"/>
  <c r="J16" i="5"/>
  <c r="K16" i="5" s="1"/>
  <c r="P16" i="5" s="1"/>
  <c r="M15" i="5"/>
  <c r="L15" i="5"/>
  <c r="O15" i="5" s="1"/>
  <c r="J15" i="5"/>
  <c r="K15" i="5" s="1"/>
  <c r="P15" i="5" s="1"/>
  <c r="M14" i="5"/>
  <c r="L14" i="5"/>
  <c r="O14" i="5" s="1"/>
  <c r="J14" i="5"/>
  <c r="K14" i="5" s="1"/>
  <c r="P14" i="5" s="1"/>
  <c r="M13" i="5"/>
  <c r="L13" i="5"/>
  <c r="O13" i="5" s="1"/>
  <c r="J13" i="5"/>
  <c r="K13" i="5" s="1"/>
  <c r="P13" i="5" s="1"/>
  <c r="M12" i="5"/>
  <c r="L12" i="5"/>
  <c r="O12" i="5" s="1"/>
  <c r="J12" i="5"/>
  <c r="K12" i="5" s="1"/>
  <c r="P12" i="5" s="1"/>
  <c r="M11" i="5"/>
  <c r="L11" i="5"/>
  <c r="O11" i="5" s="1"/>
  <c r="J11" i="5"/>
  <c r="K11" i="5" s="1"/>
  <c r="P11" i="5" s="1"/>
  <c r="M10" i="5"/>
  <c r="L10" i="5"/>
  <c r="O10" i="5" s="1"/>
  <c r="J10" i="5"/>
  <c r="K10" i="5" s="1"/>
  <c r="P10" i="5" s="1"/>
  <c r="M9" i="5"/>
  <c r="L9" i="5"/>
  <c r="O9" i="5" s="1"/>
  <c r="J9" i="5"/>
  <c r="K9" i="5" s="1"/>
  <c r="P9" i="5" s="1"/>
  <c r="M8" i="5"/>
  <c r="L8" i="5"/>
  <c r="O8" i="5" s="1"/>
  <c r="J8" i="5"/>
  <c r="K8" i="5" s="1"/>
  <c r="P8" i="5" s="1"/>
  <c r="M7" i="5"/>
  <c r="L7" i="5"/>
  <c r="O7" i="5" s="1"/>
  <c r="J7" i="5"/>
  <c r="K7" i="5" s="1"/>
  <c r="P7" i="5" s="1"/>
  <c r="M6" i="5"/>
  <c r="L6" i="5"/>
  <c r="O6" i="5" s="1"/>
  <c r="J6" i="5"/>
  <c r="K6" i="5" s="1"/>
  <c r="P6" i="5" s="1"/>
  <c r="M5" i="5"/>
  <c r="L5" i="5"/>
  <c r="O5" i="5" s="1"/>
  <c r="J5" i="5"/>
  <c r="K5" i="5" s="1"/>
  <c r="P5" i="5" s="1"/>
  <c r="M4" i="5"/>
  <c r="J4" i="5"/>
  <c r="K4" i="5" s="1"/>
  <c r="P4" i="5" s="1"/>
  <c r="M22" i="4"/>
  <c r="L22" i="4"/>
  <c r="O22" i="4" s="1"/>
  <c r="J22" i="4"/>
  <c r="K22" i="4" s="1"/>
  <c r="P22" i="4" s="1"/>
  <c r="M21" i="4"/>
  <c r="L21" i="4"/>
  <c r="O21" i="4" s="1"/>
  <c r="J21" i="4"/>
  <c r="K21" i="4" s="1"/>
  <c r="P21" i="4" s="1"/>
  <c r="M20" i="4"/>
  <c r="L20" i="4"/>
  <c r="O20" i="4" s="1"/>
  <c r="J20" i="4"/>
  <c r="K20" i="4" s="1"/>
  <c r="P20" i="4" s="1"/>
  <c r="M19" i="4"/>
  <c r="L19" i="4"/>
  <c r="O19" i="4" s="1"/>
  <c r="J19" i="4"/>
  <c r="K19" i="4" s="1"/>
  <c r="P19" i="4" s="1"/>
  <c r="M18" i="4"/>
  <c r="L18" i="4"/>
  <c r="O18" i="4" s="1"/>
  <c r="J18" i="4"/>
  <c r="K18" i="4" s="1"/>
  <c r="P18" i="4" s="1"/>
  <c r="M17" i="4"/>
  <c r="L17" i="4"/>
  <c r="O17" i="4" s="1"/>
  <c r="J17" i="4"/>
  <c r="K17" i="4" s="1"/>
  <c r="P17" i="4" s="1"/>
  <c r="M16" i="4"/>
  <c r="L16" i="4"/>
  <c r="O16" i="4" s="1"/>
  <c r="J16" i="4"/>
  <c r="K16" i="4" s="1"/>
  <c r="P16" i="4" s="1"/>
  <c r="M15" i="4"/>
  <c r="L15" i="4"/>
  <c r="O15" i="4" s="1"/>
  <c r="J15" i="4"/>
  <c r="K15" i="4" s="1"/>
  <c r="P15" i="4" s="1"/>
  <c r="M14" i="4"/>
  <c r="L14" i="4"/>
  <c r="O14" i="4" s="1"/>
  <c r="J14" i="4"/>
  <c r="K14" i="4" s="1"/>
  <c r="P14" i="4" s="1"/>
  <c r="M13" i="4"/>
  <c r="L13" i="4"/>
  <c r="O13" i="4" s="1"/>
  <c r="J13" i="4"/>
  <c r="K13" i="4" s="1"/>
  <c r="P13" i="4" s="1"/>
  <c r="M12" i="4"/>
  <c r="L12" i="4"/>
  <c r="O12" i="4" s="1"/>
  <c r="J12" i="4"/>
  <c r="K12" i="4" s="1"/>
  <c r="P12" i="4" s="1"/>
  <c r="M11" i="4"/>
  <c r="L11" i="4"/>
  <c r="O11" i="4" s="1"/>
  <c r="J11" i="4"/>
  <c r="K11" i="4" s="1"/>
  <c r="P11" i="4" s="1"/>
  <c r="M10" i="4"/>
  <c r="L10" i="4"/>
  <c r="O10" i="4" s="1"/>
  <c r="J10" i="4"/>
  <c r="K10" i="4" s="1"/>
  <c r="P10" i="4" s="1"/>
  <c r="M9" i="4"/>
  <c r="L9" i="4"/>
  <c r="O9" i="4" s="1"/>
  <c r="J9" i="4"/>
  <c r="K9" i="4" s="1"/>
  <c r="P9" i="4" s="1"/>
  <c r="M8" i="4"/>
  <c r="L8" i="4"/>
  <c r="O8" i="4" s="1"/>
  <c r="J8" i="4"/>
  <c r="K8" i="4" s="1"/>
  <c r="P8" i="4" s="1"/>
  <c r="M7" i="4"/>
  <c r="L7" i="4"/>
  <c r="O7" i="4" s="1"/>
  <c r="J7" i="4"/>
  <c r="K7" i="4" s="1"/>
  <c r="P7" i="4" s="1"/>
  <c r="M6" i="4"/>
  <c r="L6" i="4"/>
  <c r="O6" i="4" s="1"/>
  <c r="J6" i="4"/>
  <c r="K6" i="4" s="1"/>
  <c r="P6" i="4" s="1"/>
  <c r="M5" i="4"/>
  <c r="L5" i="4"/>
  <c r="O5" i="4" s="1"/>
  <c r="J5" i="4"/>
  <c r="K5" i="4" s="1"/>
  <c r="P5" i="4" s="1"/>
  <c r="M4" i="4"/>
  <c r="L4" i="4"/>
  <c r="O4" i="4" s="1"/>
  <c r="J4" i="4"/>
  <c r="K4" i="4" s="1"/>
  <c r="M22" i="6"/>
  <c r="M21" i="6"/>
  <c r="M20" i="6"/>
  <c r="M19" i="6"/>
  <c r="M18" i="6"/>
  <c r="M17" i="6"/>
  <c r="M16" i="6"/>
  <c r="M15" i="6"/>
  <c r="M14" i="6"/>
  <c r="M13" i="6"/>
  <c r="M12" i="6"/>
  <c r="M11" i="6"/>
  <c r="M10" i="6"/>
  <c r="M9" i="6"/>
  <c r="M8" i="6"/>
  <c r="M7" i="6"/>
  <c r="M6" i="6"/>
  <c r="M5" i="6"/>
  <c r="M4" i="6"/>
  <c r="L22" i="6"/>
  <c r="O22" i="6" s="1"/>
  <c r="L21" i="6"/>
  <c r="O21" i="6" s="1"/>
  <c r="L20" i="6"/>
  <c r="O20" i="6" s="1"/>
  <c r="L19" i="6"/>
  <c r="O19" i="6" s="1"/>
  <c r="L18" i="6"/>
  <c r="O18" i="6" s="1"/>
  <c r="L17" i="6"/>
  <c r="O17" i="6" s="1"/>
  <c r="L16" i="6"/>
  <c r="O16" i="6" s="1"/>
  <c r="L15" i="6"/>
  <c r="O15" i="6" s="1"/>
  <c r="L14" i="6"/>
  <c r="O14" i="6" s="1"/>
  <c r="L13" i="6"/>
  <c r="O13" i="6" s="1"/>
  <c r="L12" i="6"/>
  <c r="O12" i="6" s="1"/>
  <c r="L11" i="6"/>
  <c r="O11" i="6" s="1"/>
  <c r="L10" i="6"/>
  <c r="O10" i="6" s="1"/>
  <c r="L9" i="6"/>
  <c r="O9" i="6" s="1"/>
  <c r="L8" i="6"/>
  <c r="O8" i="6" s="1"/>
  <c r="L7" i="6"/>
  <c r="O7" i="6" s="1"/>
  <c r="L6" i="6"/>
  <c r="O6" i="6" s="1"/>
  <c r="L5" i="6"/>
  <c r="O5" i="6" s="1"/>
  <c r="L4" i="6"/>
  <c r="O4" i="6" s="1"/>
  <c r="J22" i="6"/>
  <c r="K22" i="6" s="1"/>
  <c r="P22" i="6" s="1"/>
  <c r="J21" i="6"/>
  <c r="K21" i="6" s="1"/>
  <c r="P21" i="6" s="1"/>
  <c r="J20" i="6"/>
  <c r="K20" i="6" s="1"/>
  <c r="P20" i="6" s="1"/>
  <c r="J19" i="6"/>
  <c r="K19" i="6" s="1"/>
  <c r="P19" i="6" s="1"/>
  <c r="J18" i="6"/>
  <c r="K18" i="6" s="1"/>
  <c r="P18" i="6" s="1"/>
  <c r="J17" i="6"/>
  <c r="K17" i="6" s="1"/>
  <c r="P17" i="6" s="1"/>
  <c r="J16" i="6"/>
  <c r="K16" i="6" s="1"/>
  <c r="P16" i="6" s="1"/>
  <c r="J15" i="6"/>
  <c r="K15" i="6" s="1"/>
  <c r="P15" i="6" s="1"/>
  <c r="J14" i="6"/>
  <c r="K14" i="6" s="1"/>
  <c r="P14" i="6" s="1"/>
  <c r="J13" i="6"/>
  <c r="K13" i="6" s="1"/>
  <c r="P13" i="6" s="1"/>
  <c r="J12" i="6"/>
  <c r="K12" i="6" s="1"/>
  <c r="P12" i="6" s="1"/>
  <c r="J11" i="6"/>
  <c r="K11" i="6" s="1"/>
  <c r="P11" i="6" s="1"/>
  <c r="J10" i="6"/>
  <c r="K10" i="6" s="1"/>
  <c r="P10" i="6" s="1"/>
  <c r="J9" i="6"/>
  <c r="K9" i="6" s="1"/>
  <c r="P9" i="6" s="1"/>
  <c r="J8" i="6"/>
  <c r="K8" i="6" s="1"/>
  <c r="P8" i="6" s="1"/>
  <c r="J7" i="6"/>
  <c r="K7" i="6" s="1"/>
  <c r="P7" i="6" s="1"/>
  <c r="J6" i="6"/>
  <c r="K6" i="6" s="1"/>
  <c r="P6" i="6" s="1"/>
  <c r="J5" i="6"/>
  <c r="K5" i="6" s="1"/>
  <c r="P5" i="6" s="1"/>
  <c r="J4" i="6"/>
  <c r="K4" i="6" s="1"/>
  <c r="P4" i="6" s="1"/>
  <c r="J8" i="1"/>
  <c r="K8" i="1" s="1"/>
  <c r="P8" i="1" s="1"/>
  <c r="J22" i="1"/>
  <c r="K22" i="1" s="1"/>
  <c r="P22" i="1" s="1"/>
  <c r="J21" i="1"/>
  <c r="K21" i="1" s="1"/>
  <c r="P21" i="1" s="1"/>
  <c r="J20" i="1"/>
  <c r="K20" i="1" s="1"/>
  <c r="P20" i="1" s="1"/>
  <c r="J19" i="1"/>
  <c r="K19" i="1" s="1"/>
  <c r="P19" i="1" s="1"/>
  <c r="J18" i="1"/>
  <c r="K18" i="1" s="1"/>
  <c r="P18" i="1" s="1"/>
  <c r="J17" i="1"/>
  <c r="K17" i="1" s="1"/>
  <c r="P17" i="1" s="1"/>
  <c r="J16" i="1"/>
  <c r="K16" i="1" s="1"/>
  <c r="P16" i="1" s="1"/>
  <c r="J15" i="1"/>
  <c r="K15" i="1" s="1"/>
  <c r="P15" i="1" s="1"/>
  <c r="J14" i="1"/>
  <c r="K14" i="1" s="1"/>
  <c r="P14" i="1" s="1"/>
  <c r="J13" i="1"/>
  <c r="K13" i="1" s="1"/>
  <c r="P13" i="1" s="1"/>
  <c r="J12" i="1"/>
  <c r="K12" i="1" s="1"/>
  <c r="P12" i="1" s="1"/>
  <c r="J11" i="1"/>
  <c r="K11" i="1" s="1"/>
  <c r="P11" i="1" s="1"/>
  <c r="J10" i="1"/>
  <c r="K10" i="1" s="1"/>
  <c r="P10" i="1" s="1"/>
  <c r="J9" i="1"/>
  <c r="K9" i="1" s="1"/>
  <c r="P9" i="1" s="1"/>
  <c r="J7" i="1"/>
  <c r="K7" i="1" s="1"/>
  <c r="J6" i="1"/>
  <c r="K6" i="1" s="1"/>
  <c r="J5" i="1"/>
  <c r="K5" i="1" s="1"/>
  <c r="J4" i="1"/>
  <c r="K4" i="1" s="1"/>
  <c r="D5" i="6"/>
  <c r="E5" i="6"/>
  <c r="G5" i="6" s="1"/>
  <c r="D6" i="6"/>
  <c r="E6" i="6"/>
  <c r="G6" i="6" s="1"/>
  <c r="D7" i="6"/>
  <c r="E7" i="6"/>
  <c r="F7" i="6" s="1"/>
  <c r="H7" i="6" s="1"/>
  <c r="D8" i="6"/>
  <c r="E8" i="6"/>
  <c r="G8" i="6" s="1"/>
  <c r="D9" i="6"/>
  <c r="F9" i="6" s="1"/>
  <c r="H9" i="6" s="1"/>
  <c r="E9" i="6"/>
  <c r="G9" i="6" s="1"/>
  <c r="D10" i="6"/>
  <c r="E10" i="6"/>
  <c r="F10" i="6" s="1"/>
  <c r="H10" i="6" s="1"/>
  <c r="D11" i="6"/>
  <c r="E11" i="6"/>
  <c r="G11" i="6" s="1"/>
  <c r="D12" i="6"/>
  <c r="E12" i="6"/>
  <c r="G12" i="6" s="1"/>
  <c r="D13" i="6"/>
  <c r="E13" i="6"/>
  <c r="G13" i="6" s="1"/>
  <c r="D14" i="6"/>
  <c r="E14" i="6"/>
  <c r="G14" i="6" s="1"/>
  <c r="D15" i="6"/>
  <c r="E15" i="6"/>
  <c r="D16" i="6"/>
  <c r="E16" i="6"/>
  <c r="G16" i="6" s="1"/>
  <c r="D17" i="6"/>
  <c r="E17" i="6"/>
  <c r="G17" i="6" s="1"/>
  <c r="D18" i="6"/>
  <c r="E18" i="6"/>
  <c r="G18" i="6" s="1"/>
  <c r="D19" i="6"/>
  <c r="E19" i="6"/>
  <c r="G19" i="6" s="1"/>
  <c r="D20" i="6"/>
  <c r="E20" i="6"/>
  <c r="G20" i="6" s="1"/>
  <c r="D21" i="6"/>
  <c r="E21" i="6"/>
  <c r="G21" i="6" s="1"/>
  <c r="D22" i="6"/>
  <c r="E22" i="6"/>
  <c r="G22" i="6" s="1"/>
  <c r="D16" i="4"/>
  <c r="E16" i="4"/>
  <c r="G16" i="4" s="1"/>
  <c r="D17" i="4"/>
  <c r="E17" i="4"/>
  <c r="F17" i="4" s="1"/>
  <c r="H17" i="4" s="1"/>
  <c r="D18" i="4"/>
  <c r="E18" i="4"/>
  <c r="G18" i="4" s="1"/>
  <c r="D19" i="4"/>
  <c r="E19" i="4"/>
  <c r="G19" i="4" s="1"/>
  <c r="D20" i="4"/>
  <c r="E20" i="4"/>
  <c r="G20" i="4" s="1"/>
  <c r="D21" i="4"/>
  <c r="E21" i="4"/>
  <c r="G21" i="4" s="1"/>
  <c r="D22" i="4"/>
  <c r="E22" i="4"/>
  <c r="G22" i="4" s="1"/>
  <c r="D17" i="5"/>
  <c r="E17" i="5"/>
  <c r="G17" i="5" s="1"/>
  <c r="D18" i="5"/>
  <c r="E18" i="5"/>
  <c r="G18" i="5" s="1"/>
  <c r="D19" i="5"/>
  <c r="E19" i="5"/>
  <c r="G19" i="5" s="1"/>
  <c r="D20" i="5"/>
  <c r="E20" i="5"/>
  <c r="G20" i="5" s="1"/>
  <c r="D21" i="5"/>
  <c r="E21" i="5"/>
  <c r="G21" i="5" s="1"/>
  <c r="D22" i="5"/>
  <c r="E22" i="5"/>
  <c r="G22" i="5" s="1"/>
  <c r="D5" i="5"/>
  <c r="E5" i="5"/>
  <c r="D6" i="5"/>
  <c r="E6" i="5"/>
  <c r="D7" i="5"/>
  <c r="E7" i="5"/>
  <c r="G7" i="5" s="1"/>
  <c r="D8" i="5"/>
  <c r="E8" i="5"/>
  <c r="G8" i="5" s="1"/>
  <c r="D9" i="5"/>
  <c r="E9" i="5"/>
  <c r="G9" i="5" s="1"/>
  <c r="D10" i="5"/>
  <c r="E10" i="5"/>
  <c r="G10" i="5" s="1"/>
  <c r="D11" i="5"/>
  <c r="E11" i="5"/>
  <c r="D12" i="5"/>
  <c r="E12" i="5"/>
  <c r="G12" i="5" s="1"/>
  <c r="D13" i="5"/>
  <c r="E13" i="5"/>
  <c r="G13" i="5" s="1"/>
  <c r="D14" i="5"/>
  <c r="E14" i="5"/>
  <c r="F14" i="5" s="1"/>
  <c r="H14" i="5" s="1"/>
  <c r="D15" i="5"/>
  <c r="E15" i="5"/>
  <c r="G15" i="5" s="1"/>
  <c r="D16" i="5"/>
  <c r="E16" i="5"/>
  <c r="G16" i="5" s="1"/>
  <c r="E4" i="5"/>
  <c r="G4" i="5" s="1"/>
  <c r="D4" i="5"/>
  <c r="D5" i="4"/>
  <c r="E5" i="4"/>
  <c r="G5" i="4" s="1"/>
  <c r="D6" i="4"/>
  <c r="E6" i="4"/>
  <c r="G6" i="4" s="1"/>
  <c r="D7" i="4"/>
  <c r="F7" i="4" s="1"/>
  <c r="H7" i="4" s="1"/>
  <c r="E7" i="4"/>
  <c r="G7" i="4" s="1"/>
  <c r="D8" i="4"/>
  <c r="E8" i="4"/>
  <c r="G8" i="4" s="1"/>
  <c r="D9" i="4"/>
  <c r="E9" i="4"/>
  <c r="G9" i="4" s="1"/>
  <c r="D10" i="4"/>
  <c r="E10" i="4"/>
  <c r="G10" i="4" s="1"/>
  <c r="D11" i="4"/>
  <c r="E11" i="4"/>
  <c r="G11" i="4" s="1"/>
  <c r="D12" i="4"/>
  <c r="E12" i="4"/>
  <c r="G12" i="4" s="1"/>
  <c r="D13" i="4"/>
  <c r="E13" i="4"/>
  <c r="G13" i="4" s="1"/>
  <c r="D14" i="4"/>
  <c r="E14" i="4"/>
  <c r="G14" i="4" s="1"/>
  <c r="D15" i="4"/>
  <c r="E15" i="4"/>
  <c r="G15" i="4" s="1"/>
  <c r="E4" i="4"/>
  <c r="G4" i="4" s="1"/>
  <c r="D4" i="4"/>
  <c r="E4" i="6"/>
  <c r="G4" i="6" s="1"/>
  <c r="D4" i="6"/>
  <c r="D5" i="1"/>
  <c r="E5" i="1"/>
  <c r="G5" i="1" s="1"/>
  <c r="D6" i="1"/>
  <c r="E6" i="1"/>
  <c r="G6" i="1" s="1"/>
  <c r="D7" i="1"/>
  <c r="E7" i="1"/>
  <c r="G7" i="1" s="1"/>
  <c r="D8" i="1"/>
  <c r="E8" i="1"/>
  <c r="G8" i="1" s="1"/>
  <c r="D9" i="1"/>
  <c r="E9" i="1"/>
  <c r="G9" i="1" s="1"/>
  <c r="D10" i="1"/>
  <c r="E10" i="1"/>
  <c r="G10" i="1" s="1"/>
  <c r="D11" i="1"/>
  <c r="E11" i="1"/>
  <c r="G11" i="1" s="1"/>
  <c r="D12" i="1"/>
  <c r="E12" i="1"/>
  <c r="G12" i="1" s="1"/>
  <c r="D13" i="1"/>
  <c r="E13" i="1"/>
  <c r="G13" i="1" s="1"/>
  <c r="D14" i="1"/>
  <c r="E14" i="1"/>
  <c r="G14" i="1" s="1"/>
  <c r="D15" i="1"/>
  <c r="E15" i="1"/>
  <c r="G15" i="1" s="1"/>
  <c r="D16" i="1"/>
  <c r="E16" i="1"/>
  <c r="G16" i="1" s="1"/>
  <c r="D17" i="1"/>
  <c r="E17" i="1"/>
  <c r="G17" i="1" s="1"/>
  <c r="D18" i="1"/>
  <c r="E18" i="1"/>
  <c r="G18" i="1" s="1"/>
  <c r="D19" i="1"/>
  <c r="E19" i="1"/>
  <c r="G19" i="1" s="1"/>
  <c r="D20" i="1"/>
  <c r="E20" i="1"/>
  <c r="G20" i="1" s="1"/>
  <c r="D21" i="1"/>
  <c r="E21" i="1"/>
  <c r="G21" i="1" s="1"/>
  <c r="D22" i="1"/>
  <c r="E22" i="1"/>
  <c r="G22" i="1" s="1"/>
  <c r="E4" i="1"/>
  <c r="G4" i="1" s="1"/>
  <c r="D4" i="1"/>
  <c r="C26" i="4" l="1" a="1"/>
  <c r="C26" i="4" s="1"/>
  <c r="C26" i="1" a="1"/>
  <c r="C26" i="1" s="1"/>
  <c r="C26" i="6" a="1"/>
  <c r="C26" i="6" s="1"/>
  <c r="C26" i="5" a="1"/>
  <c r="C26" i="5" s="1"/>
  <c r="D26" i="6" a="1"/>
  <c r="D26" i="6" s="1"/>
  <c r="D26" i="5" a="1"/>
  <c r="D26" i="5" s="1"/>
  <c r="F21" i="4"/>
  <c r="H21" i="4" s="1"/>
  <c r="F13" i="4"/>
  <c r="H13" i="4" s="1"/>
  <c r="F6" i="5"/>
  <c r="H6" i="5" s="1"/>
  <c r="F22" i="4"/>
  <c r="H22" i="4" s="1"/>
  <c r="F19" i="4"/>
  <c r="H19" i="4" s="1"/>
  <c r="F11" i="4"/>
  <c r="H11" i="4" s="1"/>
  <c r="Q11" i="4" s="1"/>
  <c r="F8" i="4"/>
  <c r="H8" i="4" s="1"/>
  <c r="F5" i="4"/>
  <c r="H5" i="4" s="1"/>
  <c r="F6" i="6"/>
  <c r="H6" i="6" s="1"/>
  <c r="F17" i="6"/>
  <c r="H17" i="6" s="1"/>
  <c r="G10" i="6"/>
  <c r="F18" i="6"/>
  <c r="H18" i="6" s="1"/>
  <c r="Q18" i="6" s="1"/>
  <c r="F15" i="6"/>
  <c r="H15" i="6" s="1"/>
  <c r="F5" i="6"/>
  <c r="H5" i="6" s="1"/>
  <c r="Q5" i="6" s="1"/>
  <c r="F15" i="4"/>
  <c r="H15" i="4" s="1"/>
  <c r="Q15" i="4" s="1"/>
  <c r="F9" i="4"/>
  <c r="H9" i="4" s="1"/>
  <c r="Q9" i="4" s="1"/>
  <c r="G17" i="4"/>
  <c r="Q17" i="4" s="1"/>
  <c r="F20" i="4"/>
  <c r="H20" i="4" s="1"/>
  <c r="Q20" i="4" s="1"/>
  <c r="F16" i="4"/>
  <c r="H16" i="4" s="1"/>
  <c r="Q16" i="4" s="1"/>
  <c r="F18" i="4"/>
  <c r="H18" i="4" s="1"/>
  <c r="Q18" i="4" s="1"/>
  <c r="F5" i="1"/>
  <c r="H5" i="1" s="1"/>
  <c r="P5" i="1" s="1"/>
  <c r="Q5" i="1" s="1"/>
  <c r="F22" i="1"/>
  <c r="H22" i="1" s="1"/>
  <c r="Q22" i="1" s="1"/>
  <c r="F15" i="5"/>
  <c r="H15" i="5" s="1"/>
  <c r="F7" i="5"/>
  <c r="H7" i="5" s="1"/>
  <c r="Q7" i="5" s="1"/>
  <c r="F19" i="5"/>
  <c r="H19" i="5" s="1"/>
  <c r="Q19" i="5" s="1"/>
  <c r="F22" i="5"/>
  <c r="H22" i="5" s="1"/>
  <c r="Q22" i="5" s="1"/>
  <c r="F12" i="4"/>
  <c r="H12" i="4" s="1"/>
  <c r="Q12" i="4" s="1"/>
  <c r="F10" i="4"/>
  <c r="H10" i="4" s="1"/>
  <c r="F6" i="4"/>
  <c r="H6" i="4" s="1"/>
  <c r="Q6" i="4" s="1"/>
  <c r="Q22" i="4"/>
  <c r="F14" i="4"/>
  <c r="H14" i="4" s="1"/>
  <c r="F21" i="6"/>
  <c r="H21" i="6" s="1"/>
  <c r="Q21" i="6" s="1"/>
  <c r="F12" i="6"/>
  <c r="H12" i="6" s="1"/>
  <c r="Q12" i="6" s="1"/>
  <c r="F8" i="6"/>
  <c r="H8" i="6" s="1"/>
  <c r="Q8" i="6" s="1"/>
  <c r="F20" i="6"/>
  <c r="H20" i="6" s="1"/>
  <c r="Q20" i="6" s="1"/>
  <c r="F19" i="6"/>
  <c r="H19" i="6" s="1"/>
  <c r="F11" i="6"/>
  <c r="H11" i="6" s="1"/>
  <c r="Q11" i="6" s="1"/>
  <c r="F13" i="6"/>
  <c r="H13" i="6" s="1"/>
  <c r="Q13" i="6" s="1"/>
  <c r="F16" i="6"/>
  <c r="H16" i="6" s="1"/>
  <c r="Q16" i="6" s="1"/>
  <c r="F19" i="1"/>
  <c r="H19" i="1" s="1"/>
  <c r="Q19" i="1" s="1"/>
  <c r="F12" i="1"/>
  <c r="H12" i="1" s="1"/>
  <c r="Q12" i="1" s="1"/>
  <c r="F5" i="5"/>
  <c r="H5" i="5" s="1"/>
  <c r="F16" i="5"/>
  <c r="H16" i="5" s="1"/>
  <c r="Q16" i="5" s="1"/>
  <c r="F12" i="5"/>
  <c r="H12" i="5" s="1"/>
  <c r="Q12" i="5" s="1"/>
  <c r="F8" i="5"/>
  <c r="H8" i="5" s="1"/>
  <c r="Q8" i="5" s="1"/>
  <c r="F20" i="5"/>
  <c r="H20" i="5" s="1"/>
  <c r="Q20" i="5" s="1"/>
  <c r="F18" i="5"/>
  <c r="H18" i="5" s="1"/>
  <c r="Q18" i="5" s="1"/>
  <c r="F10" i="5"/>
  <c r="H10" i="5" s="1"/>
  <c r="Q10" i="5" s="1"/>
  <c r="F13" i="5"/>
  <c r="H13" i="5" s="1"/>
  <c r="Q13" i="5" s="1"/>
  <c r="F9" i="5"/>
  <c r="H9" i="5" s="1"/>
  <c r="Q9" i="5" s="1"/>
  <c r="F21" i="5"/>
  <c r="H21" i="5" s="1"/>
  <c r="Q21" i="5" s="1"/>
  <c r="G6" i="5"/>
  <c r="Q6" i="5" s="1"/>
  <c r="F11" i="5"/>
  <c r="H11" i="5" s="1"/>
  <c r="F17" i="5"/>
  <c r="H17" i="5" s="1"/>
  <c r="Q17" i="5" s="1"/>
  <c r="G5" i="5"/>
  <c r="Q5" i="5" s="1"/>
  <c r="G14" i="5"/>
  <c r="Q14" i="5" s="1"/>
  <c r="G11" i="5"/>
  <c r="Q21" i="4"/>
  <c r="Q19" i="4"/>
  <c r="Q8" i="4"/>
  <c r="Q13" i="4"/>
  <c r="F22" i="6"/>
  <c r="H22" i="6" s="1"/>
  <c r="Q22" i="6" s="1"/>
  <c r="F14" i="6"/>
  <c r="H14" i="6" s="1"/>
  <c r="Q14" i="6" s="1"/>
  <c r="Q19" i="6"/>
  <c r="G15" i="6"/>
  <c r="Q15" i="6" s="1"/>
  <c r="G7" i="6"/>
  <c r="Q7" i="6" s="1"/>
  <c r="Q9" i="6"/>
  <c r="Q6" i="6"/>
  <c r="Q10" i="6"/>
  <c r="Q17" i="6"/>
  <c r="F7" i="1"/>
  <c r="H7" i="1" s="1"/>
  <c r="F10" i="1"/>
  <c r="H10" i="1" s="1"/>
  <c r="Q10" i="1" s="1"/>
  <c r="F20" i="1"/>
  <c r="H20" i="1" s="1"/>
  <c r="Q20" i="1" s="1"/>
  <c r="F16" i="1"/>
  <c r="H16" i="1" s="1"/>
  <c r="Q16" i="1" s="1"/>
  <c r="F8" i="1"/>
  <c r="H8" i="1" s="1"/>
  <c r="Q8" i="1" s="1"/>
  <c r="F14" i="1"/>
  <c r="H14" i="1" s="1"/>
  <c r="Q14" i="1" s="1"/>
  <c r="F11" i="1"/>
  <c r="H11" i="1" s="1"/>
  <c r="Q11" i="1" s="1"/>
  <c r="F6" i="1"/>
  <c r="H6" i="1" s="1"/>
  <c r="F21" i="1"/>
  <c r="H21" i="1" s="1"/>
  <c r="Q21" i="1" s="1"/>
  <c r="F17" i="1"/>
  <c r="H17" i="1" s="1"/>
  <c r="Q17" i="1" s="1"/>
  <c r="F13" i="1"/>
  <c r="H13" i="1" s="1"/>
  <c r="Q13" i="1" s="1"/>
  <c r="F9" i="1"/>
  <c r="H9" i="1" s="1"/>
  <c r="Q9" i="1" s="1"/>
  <c r="F15" i="1"/>
  <c r="H15" i="1" s="1"/>
  <c r="Q15" i="1" s="1"/>
  <c r="F18" i="1"/>
  <c r="H18" i="1" s="1"/>
  <c r="Q18" i="1" s="1"/>
  <c r="Q5" i="4"/>
  <c r="Q10" i="4"/>
  <c r="Q14" i="4"/>
  <c r="Q7" i="4"/>
  <c r="Q15" i="5"/>
  <c r="F4" i="5"/>
  <c r="H4" i="5" s="1"/>
  <c r="Q4" i="5" s="1"/>
  <c r="F4" i="4"/>
  <c r="H4" i="4" s="1"/>
  <c r="F4" i="6"/>
  <c r="H4" i="6" s="1"/>
  <c r="Q4" i="6" s="1"/>
  <c r="F4" i="1"/>
  <c r="H4" i="1" s="1"/>
  <c r="P4" i="4" l="1"/>
  <c r="D26" i="4" s="1" a="1"/>
  <c r="D26" i="4" s="1"/>
  <c r="P6" i="1"/>
  <c r="Q6" i="1" s="1"/>
  <c r="E26" i="6" a="1"/>
  <c r="E26" i="6" s="1"/>
  <c r="P7" i="1"/>
  <c r="Q7" i="1" s="1"/>
  <c r="P4" i="1"/>
  <c r="Q11" i="5"/>
  <c r="E26" i="5" s="1" a="1"/>
  <c r="E26" i="5" s="1"/>
  <c r="Q4" i="4" l="1"/>
  <c r="E26" i="4" s="1" a="1"/>
  <c r="E26" i="4" s="1"/>
  <c r="Q4" i="1"/>
  <c r="E26" i="1" s="1" a="1"/>
  <c r="E26" i="1" s="1"/>
  <c r="D26" i="1" a="1"/>
  <c r="D2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tc={46578509-F78B-4109-814A-2849134E4929}</author>
  </authors>
  <commentList>
    <comment ref="A39" authorId="0" shapeId="0" xr:uid="{46578509-F78B-4109-814A-2849134E4929}">
      <text>
        <t>[Threaded comment]
Your version of Excel allows you to read this threaded comment; however, any edits to it will get removed if the file is opened in a newer version of Excel. Learn more: https://go.microsoft.com/fwlink/?linkid=870924
Comment:
    1. https://www.corpuschristi-mpo.org/rsap/Regional-Safety-Action-Plan_Approved-20241003.pdf
This Safety Action Plan uses a similar BCA method, beginning on page 49</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tc={6E941173-2F99-46F3-AC4F-A6FBC9907832}</author>
  </authors>
  <commentList>
    <comment ref="I3" authorId="0" shapeId="0" xr:uid="{6E941173-2F99-46F3-AC4F-A6FBC9907832}">
      <text>
        <t>[Threaded comment]
Your version of Excel allows you to read this threaded comment; however, any edits to it will get removed if the file is opened in a newer version of Excel. Learn more: https://go.microsoft.com/fwlink/?linkid=870924
Comment:
    Curb Extensions are a “best practice” in traffic calming but are not yet a part of the CMF Clearing house. Curb Extensions are on the CMF Most Wanted List: https://cmfclearinghouse.fhwa.dot.gov/most_wanted.php</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<sst xmlns="http://schemas.openxmlformats.org/spreadsheetml/2006/main" count="750" uniqueCount="254">
  <si>
    <t xml:space="preserve"> Benefit-Cost Analysis Calculator</t>
  </si>
  <si>
    <t>Purpose</t>
  </si>
  <si>
    <t xml:space="preserve">    This spreadsheet is meant to be used to easily conduct a benefit cost analysis for potential safety improvements to the priority segments of the high injury network identified in the TCRPC's Comprehensive Safety Action Plan. A benefit-cost analysis provides a quantifiable way to assess the financial gain of crash reduction relative to project costs, and allows for comparison of the effectiveness of various countermeasures.</t>
  </si>
  <si>
    <t>How to use this spreadsheet</t>
  </si>
  <si>
    <t xml:space="preserve">     There are separate tabs for each set of priority corridors: Tri-County, Peoria County, Tazewell County, and Woodford County. In order to use the spreadsheet, the user is only required to input 3 components: The segment name, the improvement type, and the number of units of the improvement. </t>
  </si>
  <si>
    <t xml:space="preserve">1. The segment name is available from a dropdown list in Column B. Once selected, columns C-H will automatically fill in with the corresponding crash data. </t>
  </si>
  <si>
    <t>2. Next, use the dropdown list in column I to select the improvement type you wish to calculate the cost benefit analysis for. The list of improvements comes from the FHWA's list of Proven Countermeasures, which is consistent with the Safety Toolkit provided in the Comprehensive Safety Action Plan.</t>
  </si>
  <si>
    <t>This will automatically fill in columns J, K, L, and M including the expected Crash Reduction Factor and unit cost of implementation.</t>
  </si>
  <si>
    <t>3. Finally, the user should identify the number of units of the improvement being implemented, such as the number of miles of a bike lane or number of intersections on the corridor. Then, the total cost of the improvement will be calculated and the spreadsheet will return the final cost-benefit ratio for each line</t>
  </si>
  <si>
    <t xml:space="preserve">A summary table containing just the project name, cost, benefit, and B/C ratio can be found just below the main tables for ease of comparison and exporting. </t>
  </si>
  <si>
    <t>How is the benefit/cost ratio calculated?</t>
  </si>
  <si>
    <r>
      <t xml:space="preserve">    The BC ratio consists of selecting a countermeasure with a known crash reduction factor, estimating the cost of construction, and computing a benefit cost (B/C) ratio. B/C represents a ratio of benefits of crash reduction to the cost of construction and maintenance over the life cycle of improvement. Project benefits were determined by applying established Crash Reduction Factors (CRFs) from the CMFClearinghouse specific to the proposed improvement to the expected number of severe injury and fatal crashes anticipated over the service life of the improvement in its absence (no-action condition). The expected reduction in crashes resulting from the improvement was then multiplied by current IDOT standard costs representing societal economic impact from severe and fatal road crashes. An individual projects’ B/C ratio is obtained by dividing the total economic safety benefit by the implementation cost. B/C values greater than one represent a positive societal return on investment. Higher B/C values indicate higher levels of cost effectiveness</t>
    </r>
    <r>
      <rPr>
        <vertAlign val="superscript"/>
        <sz val="11"/>
        <color theme="1"/>
        <rFont val="Aptos Narrow"/>
        <family val="2"/>
        <scheme val="minor"/>
      </rPr>
      <t>1</t>
    </r>
    <r>
      <rPr>
        <sz val="11"/>
        <color theme="1"/>
        <rFont val="Aptos Narrow"/>
        <family val="2"/>
        <scheme val="minor"/>
      </rPr>
      <t>.</t>
    </r>
  </si>
  <si>
    <t>The  formula used to calculate the societal benefit of the improvement is as follows:</t>
  </si>
  <si>
    <t>Benefit = CurrentCrashRate*CrashReductionFactor*Time Period * Crash Costs</t>
  </si>
  <si>
    <t xml:space="preserve">      The current crash rate is taken using IDOT crash data from 2017 to 2022, adjusted to a per-year basis. The time period for the improvement service life was assumed to be 10 years. Crash costs are based on IDOT costs for Killed and Serious Injury crashes, adjusted for inflation to 2025.</t>
  </si>
  <si>
    <t>How do I assess the impact of multiple improvements at once?</t>
  </si>
  <si>
    <t xml:space="preserve">Even though it is likely that multiple countermeasures may be implemented at one location, it is difficult to assess the combined effect and not available with this spreadsheet. The CMF clearinghouse generally does not recommend simply multiplying two CRF's together. Although implementing several countermeasures might be more effective than just one, it is unlikely the full effect of each countermeasure would be realized when they are implemented concurrently, particularly if the countermeasures are targeting the same crash type. For more resources see the Clearninghouse advanced user's guide: </t>
  </si>
  <si>
    <t>https://cmfclearinghouse.fhwa.dot.gov/userguide_advancedusers.php</t>
  </si>
  <si>
    <t>Data Sources</t>
  </si>
  <si>
    <t>CRF's:</t>
  </si>
  <si>
    <t>https://cmfclearinghouse.fhwa.dot.gov/index.php</t>
  </si>
  <si>
    <t>Construction Costs:</t>
  </si>
  <si>
    <t>https://www.pedbikeinfo.org/downloads/Countermeasure%20Costs_Report_Nov2013.pdf</t>
  </si>
  <si>
    <t>Crash Costs:</t>
  </si>
  <si>
    <t>https://highways.dot.gov/sites/fhwa.dot.gov/files/2022-09/fhwasa17071.pdf</t>
  </si>
  <si>
    <t>Prepared by Lochmueller Group for the Tri-County Regional Planning Commission (TCRPC), 2025</t>
  </si>
  <si>
    <t>Tri-County Priority Projects</t>
  </si>
  <si>
    <t>ONLY EDIT HIGHLIGHTED CELLS</t>
  </si>
  <si>
    <t>County</t>
  </si>
  <si>
    <t>Project Name</t>
  </si>
  <si>
    <t>Segment Length (Miles)</t>
  </si>
  <si>
    <t>KSI Crashes</t>
  </si>
  <si>
    <t>K Crashes</t>
  </si>
  <si>
    <t>A Crashes</t>
  </si>
  <si>
    <t>K Crashes Per Year</t>
  </si>
  <si>
    <t>A Crashes Per Year</t>
  </si>
  <si>
    <t>Improvement</t>
  </si>
  <si>
    <t>CMF</t>
  </si>
  <si>
    <t>CRF</t>
  </si>
  <si>
    <t>Unit Cost</t>
  </si>
  <si>
    <t>Unit Type</t>
  </si>
  <si>
    <t># Units</t>
  </si>
  <si>
    <t>Total Cost</t>
  </si>
  <si>
    <t>10-Year Benefit</t>
  </si>
  <si>
    <t>B/C Ratio</t>
  </si>
  <si>
    <t>Tri County</t>
  </si>
  <si>
    <t>MAIN ST (Peoria)</t>
  </si>
  <si>
    <t>Bicycle Lanes (On Road)</t>
  </si>
  <si>
    <t>Systemic Stop Applications</t>
  </si>
  <si>
    <t>Automated Enforcement</t>
  </si>
  <si>
    <t>JEFFERSON AVE</t>
  </si>
  <si>
    <t>Curve Warning Signs</t>
  </si>
  <si>
    <t>BROADWAY RD</t>
  </si>
  <si>
    <t>MAIN St (US24/150)</t>
  </si>
  <si>
    <t>Crosswalk Enhancements</t>
  </si>
  <si>
    <t>Bicycle Lanes (cycle track)</t>
  </si>
  <si>
    <t>ADAMS ST</t>
  </si>
  <si>
    <t>SHERIDAN RD</t>
  </si>
  <si>
    <t>STERLING AVE</t>
  </si>
  <si>
    <t>Summary</t>
  </si>
  <si>
    <t>Peoria County Priority Projects</t>
  </si>
  <si>
    <t>Peoria</t>
  </si>
  <si>
    <t>MAIN ST</t>
  </si>
  <si>
    <t>Roundabouts</t>
  </si>
  <si>
    <t>KNOXVILLE AVE</t>
  </si>
  <si>
    <t>WESTERN AVE</t>
  </si>
  <si>
    <t>NEBRASKA AVE</t>
  </si>
  <si>
    <t>MCCLURE AVE</t>
  </si>
  <si>
    <t>GLEN OAK AVE</t>
  </si>
  <si>
    <t>ABINGTON ST</t>
  </si>
  <si>
    <t>SPALDING AVE</t>
  </si>
  <si>
    <t>WAR MEMORIAL DR</t>
  </si>
  <si>
    <t>Tazewell County Priority Projects</t>
  </si>
  <si>
    <t>Tazewell</t>
  </si>
  <si>
    <t>WASHINGTON RD. (BUS24)</t>
  </si>
  <si>
    <t>Reduced Left-Turn Conflict Intersections</t>
  </si>
  <si>
    <t>PARKWAY DR</t>
  </si>
  <si>
    <t>COURT ST</t>
  </si>
  <si>
    <t>MARGARET ST</t>
  </si>
  <si>
    <t>5TH ST/8th Street (IL29)</t>
  </si>
  <si>
    <t>ANN ELIZA</t>
  </si>
  <si>
    <t>SCHOOL ST</t>
  </si>
  <si>
    <t>14TH ST</t>
  </si>
  <si>
    <t>E WASHINGTON ST (IL8)</t>
  </si>
  <si>
    <t>8TH ST</t>
  </si>
  <si>
    <t>Woodford</t>
  </si>
  <si>
    <t>MAIN ST (IL117)</t>
  </si>
  <si>
    <t>Pedestrian Hybrid Beacon</t>
  </si>
  <si>
    <t>CENTER ST (US24)</t>
  </si>
  <si>
    <t>Signage</t>
  </si>
  <si>
    <t>NILES ST (IL89)</t>
  </si>
  <si>
    <t>Caterpillar Trl (IL 116)</t>
  </si>
  <si>
    <t>Spring Bay Road (IL26)</t>
  </si>
  <si>
    <t>CR2200 N</t>
  </si>
  <si>
    <t>Nofsinger Rd</t>
  </si>
  <si>
    <t>STATE ST (IL89)</t>
  </si>
  <si>
    <t>IL89</t>
  </si>
  <si>
    <t xml:space="preserve"> IL26</t>
  </si>
  <si>
    <t>WOODLAND KNOLLS RD@116</t>
  </si>
  <si>
    <t>WOODLAND KNOLLS RD</t>
  </si>
  <si>
    <t xml:space="preserve"> US24 (El Paso)</t>
  </si>
  <si>
    <t>Notes</t>
  </si>
  <si>
    <t>Improvements without CMF's or Cost Estimates:</t>
  </si>
  <si>
    <t>Per intersection or implementation</t>
  </si>
  <si>
    <t>Corridor Access Management</t>
  </si>
  <si>
    <t>Unknown</t>
  </si>
  <si>
    <t>Per Mile</t>
  </si>
  <si>
    <t>Curb Extension/Bulb-Out</t>
  </si>
  <si>
    <t>N/A</t>
  </si>
  <si>
    <t>Per implementation</t>
  </si>
  <si>
    <t>per Mile</t>
  </si>
  <si>
    <t>Curve Improvements</t>
  </si>
  <si>
    <t>Improved Right Turn Angle</t>
  </si>
  <si>
    <t>Dedicated Turn Lanes</t>
  </si>
  <si>
    <t>Per intersection leg</t>
  </si>
  <si>
    <t>Dilemma Zone Detection</t>
  </si>
  <si>
    <t>Per intersection</t>
  </si>
  <si>
    <t>Angle Crashes</t>
  </si>
  <si>
    <t>Dynamic Speed Monitoring (Speed Trailer)</t>
  </si>
  <si>
    <t>Per installation</t>
  </si>
  <si>
    <t>Enhanced Delineation</t>
  </si>
  <si>
    <t>per mile</t>
  </si>
  <si>
    <t>High Friction Surface Treatments</t>
  </si>
  <si>
    <t>Per lane-mile</t>
  </si>
  <si>
    <t>Intersection Conflict Warning</t>
  </si>
  <si>
    <t>Per Intersection</t>
  </si>
  <si>
    <t>Leading Pedestrian Intervals</t>
  </si>
  <si>
    <t>Rural Only</t>
  </si>
  <si>
    <t>Medians (Raised)</t>
  </si>
  <si>
    <t>Pedestrian Refuge Island</t>
  </si>
  <si>
    <t>Permissive to Protected Left Turns</t>
  </si>
  <si>
    <t>Veh/Ped crashes only</t>
  </si>
  <si>
    <t>Road Diets</t>
  </si>
  <si>
    <t>Roadway Lighting - corridor</t>
  </si>
  <si>
    <t>Per mile</t>
  </si>
  <si>
    <t>Roadway Lighting - intersection</t>
  </si>
  <si>
    <t>RRFB</t>
  </si>
  <si>
    <t>Rumble Strips</t>
  </si>
  <si>
    <t>Shared Use Paths</t>
  </si>
  <si>
    <t>Signal Heads with Retroreflective Backplates</t>
  </si>
  <si>
    <t>Vertical Deflections</t>
  </si>
  <si>
    <t>Yellow Change Intervals</t>
  </si>
  <si>
    <t>Veh/Ped Crashes only</t>
  </si>
  <si>
    <t>Sidewalks</t>
  </si>
  <si>
    <t>Per foot</t>
  </si>
  <si>
    <t>Segments</t>
  </si>
  <si>
    <t xml:space="preserve">Tri County </t>
  </si>
  <si>
    <t>Rank</t>
  </si>
  <si>
    <t>AADT</t>
  </si>
  <si>
    <t>COUNTY_NAM</t>
  </si>
  <si>
    <t>FC_NAME</t>
  </si>
  <si>
    <t>LNS</t>
  </si>
  <si>
    <t>Muni</t>
  </si>
  <si>
    <t>Jurisdiction</t>
  </si>
  <si>
    <t>ROAD_NAME</t>
  </si>
  <si>
    <t>TO</t>
  </si>
  <si>
    <t>FROM</t>
  </si>
  <si>
    <t># of KSI Crashes</t>
  </si>
  <si>
    <t># Fatal Crashes</t>
  </si>
  <si>
    <t>Non-Motorized Crashes</t>
  </si>
  <si>
    <t>Length (Miles)</t>
  </si>
  <si>
    <t>PEORIA</t>
  </si>
  <si>
    <t>Minor Arterial</t>
  </si>
  <si>
    <t>City of Peoria</t>
  </si>
  <si>
    <t>Farmington Rd</t>
  </si>
  <si>
    <t>NE Water Street</t>
  </si>
  <si>
    <t>Other Principal Arterial</t>
  </si>
  <si>
    <t>IDOT</t>
  </si>
  <si>
    <t>War Memorial Drive</t>
  </si>
  <si>
    <t>I-74/Pennsylvania Ave</t>
  </si>
  <si>
    <t>TAZEWELL</t>
  </si>
  <si>
    <t>Pekin</t>
  </si>
  <si>
    <t>Broadway</t>
  </si>
  <si>
    <t>Court Street</t>
  </si>
  <si>
    <t>IDOT/Peoria</t>
  </si>
  <si>
    <t>Van Buren St</t>
  </si>
  <si>
    <t>MacArthur Hwy</t>
  </si>
  <si>
    <t>Veterans Drive</t>
  </si>
  <si>
    <t>S 3rd St</t>
  </si>
  <si>
    <t>EP</t>
  </si>
  <si>
    <t>MAIN ST (US24/150)</t>
  </si>
  <si>
    <t>Wesley Road</t>
  </si>
  <si>
    <t>Blackjack Blvd</t>
  </si>
  <si>
    <t>Washington</t>
  </si>
  <si>
    <t>WASHINGTON RD (BUS24)</t>
  </si>
  <si>
    <t>Main St</t>
  </si>
  <si>
    <t>McClugage Rd</t>
  </si>
  <si>
    <t>W McClure Ave</t>
  </si>
  <si>
    <t>Peoria/West Peoria</t>
  </si>
  <si>
    <t>W Farmington Rd</t>
  </si>
  <si>
    <t>S 3rd Ave</t>
  </si>
  <si>
    <t>Sheridan Road</t>
  </si>
  <si>
    <t>Broadway Street</t>
  </si>
  <si>
    <t>N 2nd Street</t>
  </si>
  <si>
    <t>Ann Eliza St</t>
  </si>
  <si>
    <t>Coolidge Ave</t>
  </si>
  <si>
    <t>Major Collector</t>
  </si>
  <si>
    <t>Washington Rd</t>
  </si>
  <si>
    <t>Washington Corp Limits</t>
  </si>
  <si>
    <t>Park Ave</t>
  </si>
  <si>
    <t>Spinder Drive</t>
  </si>
  <si>
    <t>School St</t>
  </si>
  <si>
    <t>Minor Collector</t>
  </si>
  <si>
    <t>Willow St</t>
  </si>
  <si>
    <t>Washington St (Pekin)</t>
  </si>
  <si>
    <t>Lincoln Ave (IL116)</t>
  </si>
  <si>
    <t>N University Ave</t>
  </si>
  <si>
    <t>N Wisconsin Ave</t>
  </si>
  <si>
    <t>N Prospect Rd</t>
  </si>
  <si>
    <t>North Street</t>
  </si>
  <si>
    <t>Spring St</t>
  </si>
  <si>
    <t>E Nebraska Ave</t>
  </si>
  <si>
    <t>NE Perry Ave</t>
  </si>
  <si>
    <t>NE Jefferson St</t>
  </si>
  <si>
    <t>Knoxville Ave</t>
  </si>
  <si>
    <t>E Harvard Ave</t>
  </si>
  <si>
    <t>WOODFORD</t>
  </si>
  <si>
    <t>Eureka</t>
  </si>
  <si>
    <t>Timberline Road</t>
  </si>
  <si>
    <t>Prairie Ridge Court</t>
  </si>
  <si>
    <t>Major St</t>
  </si>
  <si>
    <t>County Line</t>
  </si>
  <si>
    <t>Metamora</t>
  </si>
  <si>
    <t>N Wiedman St</t>
  </si>
  <si>
    <t>IL116</t>
  </si>
  <si>
    <t>Germantown Hills</t>
  </si>
  <si>
    <t>Arbor Vista Drive</t>
  </si>
  <si>
    <t>N Hoppe Ln</t>
  </si>
  <si>
    <t>Spring Bay</t>
  </si>
  <si>
    <t>W Missouri St</t>
  </si>
  <si>
    <t>Santa Fe Trail</t>
  </si>
  <si>
    <t>T6-13</t>
  </si>
  <si>
    <t>Woodford County</t>
  </si>
  <si>
    <t>CR 2200 E</t>
  </si>
  <si>
    <t>IL117</t>
  </si>
  <si>
    <t>Township?</t>
  </si>
  <si>
    <t>Tazewood Rd</t>
  </si>
  <si>
    <t>Washburn</t>
  </si>
  <si>
    <t>Madison St</t>
  </si>
  <si>
    <t>N Jefferson St</t>
  </si>
  <si>
    <t>Clark St (Lowpoint)</t>
  </si>
  <si>
    <t>Main St (Cazenovia)</t>
  </si>
  <si>
    <t>Lourdes Road</t>
  </si>
  <si>
    <t>Bricktown Road</t>
  </si>
  <si>
    <t>GH</t>
  </si>
  <si>
    <t>Jubilee Lane</t>
  </si>
  <si>
    <t>Upper Spring Bay Road</t>
  </si>
  <si>
    <t>N Paradise Drive</t>
  </si>
  <si>
    <t>El Paso</t>
  </si>
  <si>
    <t>I-39</t>
  </si>
  <si>
    <t>N 1500 E Road (County Line)</t>
  </si>
  <si>
    <t>Killed Crash Cost</t>
  </si>
  <si>
    <t>A-Injury Crash Cost</t>
  </si>
  <si>
    <t>^ 2025 Illinois Crash Costs from 2016 adjusted for inflation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</si>
</sst>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164" formatCode="&quot;$&quot;#,##0"/>
    <numFmt numFmtId="165" formatCode="&quot;$&quot;#,##0.00"/>
    <numFmt numFmtId="166" formatCode="_(&quot;$&quot;* #,##0_);_(&quot;$&quot;* \(#,##0\);_(&quot;$&quot;* &quot;-&quot;??_);_(@_)"/>
    <numFmt numFmtId="167" formatCode="&quot;$&quot;#,##0.0_);[Red]\(&quot;$&quot;#,##0.0\)"/>
  </numFmts>
  <fonts count="9" x14ac:knownFonts="1">
    <font>
      <sz val="11"/>
      <color theme="1"/>
      <name val="Aptos Narrow"/>
      <family val="2"/>
      <scheme val="minor"/>
    </font>
    <font>
      <b/>
      <sz val="11"/>
      <color theme="1"/>
      <name val="Aptos Narrow"/>
      <family val="2"/>
      <scheme val="minor"/>
    </font>
    <font>
      <b/>
      <sz val="12"/>
      <name val="Calibri"/>
      <family val="2"/>
    </font>
    <font>
      <sz val="11"/>
      <color rgb="FF330000"/>
      <name val="Aptos Narrow"/>
      <family val="2"/>
      <scheme val="minor"/>
    </font>
    <font>
      <sz val="11"/>
      <color theme="1"/>
      <name val="Aptos Narrow"/>
      <family val="2"/>
      <scheme val="minor"/>
    </font>
    <font>
      <b/>
      <sz val="16"/>
      <color theme="1"/>
      <name val="Aptos Narrow"/>
      <family val="2"/>
      <scheme val="minor"/>
    </font>
    <font>
      <b/>
      <sz val="14"/>
      <color theme="1"/>
      <name val="Aptos Narrow"/>
      <family val="2"/>
      <scheme val="minor"/>
    </font>
    <font>
      <u/>
      <sz val="11"/>
      <color theme="10"/>
      <name val="Aptos Narrow"/>
      <family val="2"/>
      <scheme val="minor"/>
    </font>
    <font>
      <vertAlign val="superscript"/>
      <sz val="11"/>
      <color theme="1"/>
      <name val="Aptos Narrow"/>
      <family val="2"/>
      <scheme val="minor"/>
    </font>
  </fonts>
  <fills count="4">
    <fill>
      <patternFill patternType="none"/>
    </fill>
    <fill>
      <patternFill patternType="gray125"/>
    </fill>
    <fill>
      <patternFill patternType="solid">
        <fgColor rgb="FFE6E6E6"/>
        <bgColor rgb="FFE6E6E6"/>
      </patternFill>
    </fill>
    <fill>
      <patternFill patternType="solid">
        <fgColor theme="5" tint="0.59999389629810485"/>
        <bgColor indexed="64"/>
      </patternFill>
    </fill>
  </fills>
  <borders count="10">
    <border>
      <left/>
      <right/>
      <top/>
      <bottom/>
      <diagonal/>
    </border>
    <border>
      <left/>
      <right/>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2" fillId="2" borderId="1">
      <alignment horizontal="left"/>
    </xf>
    <xf numFmtId="44" fontId="4" fillId="0" borderId="0" applyFont="0" applyFill="0" applyBorder="0" applyAlignment="0" applyProtection="0"/>
    <xf numFmtId="0" fontId="7" fillId="0" borderId="0" applyNumberFormat="0" applyFill="0" applyBorder="0" applyAlignment="0" applyProtection="0"/>
  </cellStyleXfs>
  <cellXfs count="41">
    <xf numFmtId="0" fontId="0" fillId="0" borderId="0" xfId="0"/>
    <xf numFmtId="6" fontId="0" fillId="0" borderId="0" xfId="0" applyNumberFormat="1"/>
    <xf numFmtId="0" fontId="1" fillId="0" borderId="0" xfId="0" applyFont="1"/>
    <xf numFmtId="2" fontId="0" fillId="0" borderId="0" xfId="0" applyNumberFormat="1"/>
    <xf numFmtId="8" fontId="3" fillId="0" borderId="0" xfId="0" applyNumberFormat="1" applyFont="1"/>
    <xf numFmtId="6" fontId="3" fillId="0" borderId="0" xfId="0" applyNumberFormat="1" applyFont="1"/>
    <xf numFmtId="0" fontId="0" fillId="3" borderId="0" xfId="0" applyFill="1"/>
    <xf numFmtId="164" fontId="0" fillId="0" borderId="0" xfId="2" applyNumberFormat="1" applyFont="1"/>
    <xf numFmtId="0" fontId="6" fillId="0" borderId="0" xfId="0" applyFont="1" applyAlignment="1">
      <alignment horizontal="center"/>
    </xf>
    <xf numFmtId="165" fontId="0" fillId="0" borderId="0" xfId="0" applyNumberFormat="1"/>
    <xf numFmtId="0" fontId="0" fillId="0" borderId="0" xfId="0" applyAlignment="1">
      <alignment horizontal="left" vertical="top" wrapText="1"/>
    </xf>
    <xf numFmtId="0" fontId="0" fillId="0" borderId="0" xfId="0" applyAlignment="1">
      <alignment horizontal="left"/>
    </xf>
    <xf numFmtId="2" fontId="1" fillId="0" borderId="0" xfId="0" applyNumberFormat="1" applyFont="1"/>
    <xf numFmtId="0" fontId="7" fillId="0" borderId="0" xfId="3"/>
    <xf numFmtId="0" fontId="5" fillId="0" borderId="0" xfId="0" applyFont="1" applyAlignment="1">
      <alignment horizontal="center"/>
    </xf>
    <xf numFmtId="0" fontId="0" fillId="0" borderId="0" xfId="0" applyAlignment="1">
      <alignment vertical="top"/>
    </xf>
    <xf numFmtId="166" fontId="0" fillId="0" borderId="0" xfId="2" applyNumberFormat="1" applyFont="1" applyFill="1"/>
    <xf numFmtId="0" fontId="1" fillId="0" borderId="2" xfId="0" applyFont="1" applyBorder="1"/>
    <xf numFmtId="0" fontId="0" fillId="0" borderId="3" xfId="0" applyBorder="1"/>
    <xf numFmtId="0" fontId="0" fillId="0" borderId="4" xfId="0" applyBorder="1"/>
    <xf numFmtId="0" fontId="1" fillId="0" borderId="5" xfId="0" applyFont="1" applyBorder="1"/>
    <xf numFmtId="0" fontId="1" fillId="0" borderId="6" xfId="0" applyFont="1" applyBorder="1"/>
    <xf numFmtId="0" fontId="0" fillId="0" borderId="5" xfId="0" applyBorder="1"/>
    <xf numFmtId="165" fontId="0" fillId="0" borderId="0" xfId="2" applyNumberFormat="1" applyFont="1" applyBorder="1"/>
    <xf numFmtId="167" fontId="0" fillId="0" borderId="0" xfId="0" applyNumberFormat="1"/>
    <xf numFmtId="2" fontId="0" fillId="0" borderId="6" xfId="0" applyNumberFormat="1" applyBorder="1"/>
    <xf numFmtId="0" fontId="0" fillId="0" borderId="7" xfId="0" applyBorder="1"/>
    <xf numFmtId="0" fontId="0" fillId="0" borderId="8" xfId="0" applyBorder="1"/>
    <xf numFmtId="165" fontId="0" fillId="0" borderId="8" xfId="2" applyNumberFormat="1" applyFont="1" applyBorder="1"/>
    <xf numFmtId="167" fontId="0" fillId="0" borderId="8" xfId="0" applyNumberFormat="1" applyBorder="1"/>
    <xf numFmtId="2" fontId="0" fillId="0" borderId="9" xfId="0" applyNumberFormat="1" applyBorder="1"/>
    <xf numFmtId="164" fontId="0" fillId="0" borderId="0" xfId="0" applyNumberFormat="1"/>
    <xf numFmtId="0" fontId="0" fillId="0" borderId="6" xfId="0" applyBorder="1"/>
    <xf numFmtId="0" fontId="0" fillId="0" borderId="9" xfId="0" applyBorder="1"/>
    <xf numFmtId="0" fontId="0" fillId="0" borderId="0" xfId="0" applyAlignment="1">
      <alignment horizontal="left" wrapText="1"/>
    </xf>
    <xf numFmtId="0" fontId="6" fillId="0" borderId="0" xfId="0" applyFont="1" applyAlignment="1">
      <alignment horizontal="center"/>
    </xf>
    <xf numFmtId="0" fontId="5" fillId="0" borderId="0" xfId="0" applyFont="1" applyAlignment="1">
      <alignment horizontal="center"/>
    </xf>
    <xf numFmtId="0" fontId="0" fillId="0" borderId="0" xfId="0" applyAlignment="1">
      <alignment horizontal="center"/>
    </xf>
    <xf numFmtId="0" fontId="0" fillId="0" borderId="0" xfId="0" applyAlignment="1">
      <alignment horizontal="left" vertical="top" wrapText="1"/>
    </xf>
    <xf numFmtId="0" fontId="0" fillId="0" borderId="0" xfId="0" applyAlignment="1">
      <alignment horizontal="left"/>
    </xf>
    <xf numFmtId="0" fontId="0" fillId="3" borderId="0" xfId="0" applyFill="1" applyAlignment="1">
      <alignment horizontal="left"/>
    </xf>
  </cellXfs>
  <cellStyles count="4">
    <cellStyle name="Currency" xfId="2" builtinId="4"/>
    <cellStyle name="Hyperlink" xfId="3" builtinId="8"/>
    <cellStyle name="Normal" xfId="0" builtinId="0"/>
    <cellStyle name="STYLE0" xfId="1" xr:uid="{C0A0C27B-155F-4CA0-A177-8B51047B60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600075</xdr:colOff>
      <xdr:row>0</xdr:row>
      <xdr:rowOff>0</xdr:rowOff>
    </xdr:from>
    <xdr:to>
      <xdr:col>11</xdr:col>
      <xdr:colOff>581025</xdr:colOff>
      <xdr:row>4</xdr:row>
      <xdr:rowOff>147637</xdr:rowOff>
    </xdr:to>
    <xdr:pic>
      <xdr:nvPicPr>
        <xdr:cNvPr id="3" name="Picture 2">
          <a:extLst>
            <a:ext uri="{FF2B5EF4-FFF2-40B4-BE49-F238E27FC236}">
              <a16:creationId xmlns:a16="http://schemas.microsoft.com/office/drawing/2014/main" id="{F1062601-1EE1-8A56-4A89-EF8E35336247}"/>
            </a:ext>
          </a:extLst>
        </xdr:cNvPr>
        <xdr:cNvPicPr>
          <a:picLocks noChangeAspect="1"/>
        </xdr:cNvPicPr>
      </xdr:nvPicPr>
      <xdr:blipFill>
        <a:blip xmlns:r="http://schemas.openxmlformats.org/officeDocument/2006/relationships" r:embed="rId1"/>
        <a:stretch>
          <a:fillRect/>
        </a:stretch>
      </xdr:blipFill>
      <xdr:spPr>
        <a:xfrm>
          <a:off x="3648075" y="0"/>
          <a:ext cx="3638550" cy="909637"/>
        </a:xfrm>
        <a:prstGeom prst="rect">
          <a:avLst/>
        </a:prstGeom>
      </xdr:spPr>
    </xdr:pic>
    <xdr:clientData/>
  </xdr:twoCellAnchor>
  <xdr:twoCellAnchor editAs="oneCell">
    <xdr:from>
      <xdr:col>2</xdr:col>
      <xdr:colOff>371476</xdr:colOff>
      <xdr:row>12</xdr:row>
      <xdr:rowOff>9526</xdr:rowOff>
    </xdr:from>
    <xdr:to>
      <xdr:col>16</xdr:col>
      <xdr:colOff>123826</xdr:colOff>
      <xdr:row>17</xdr:row>
      <xdr:rowOff>204597</xdr:rowOff>
    </xdr:to>
    <xdr:pic>
      <xdr:nvPicPr>
        <xdr:cNvPr id="4" name="Picture 3">
          <a:extLst>
            <a:ext uri="{FF2B5EF4-FFF2-40B4-BE49-F238E27FC236}">
              <a16:creationId xmlns:a16="http://schemas.microsoft.com/office/drawing/2014/main" id="{05A6715C-10C1-4B1B-D8DC-73B6FA4CDA12}"/>
            </a:ext>
          </a:extLst>
        </xdr:cNvPr>
        <xdr:cNvPicPr>
          <a:picLocks noChangeAspect="1"/>
        </xdr:cNvPicPr>
      </xdr:nvPicPr>
      <xdr:blipFill>
        <a:blip xmlns:r="http://schemas.openxmlformats.org/officeDocument/2006/relationships" r:embed="rId2"/>
        <a:stretch>
          <a:fillRect/>
        </a:stretch>
      </xdr:blipFill>
      <xdr:spPr>
        <a:xfrm>
          <a:off x="1590676" y="3390901"/>
          <a:ext cx="8286750" cy="2052446"/>
        </a:xfrm>
        <a:prstGeom prst="rect">
          <a:avLst/>
        </a:prstGeom>
      </xdr:spPr>
    </xdr:pic>
    <xdr:clientData/>
  </xdr:twoCellAnchor>
  <xdr:twoCellAnchor>
    <xdr:from>
      <xdr:col>3</xdr:col>
      <xdr:colOff>28573</xdr:colOff>
      <xdr:row>12</xdr:row>
      <xdr:rowOff>238125</xdr:rowOff>
    </xdr:from>
    <xdr:to>
      <xdr:col>3</xdr:col>
      <xdr:colOff>123825</xdr:colOff>
      <xdr:row>13</xdr:row>
      <xdr:rowOff>323850</xdr:rowOff>
    </xdr:to>
    <xdr:cxnSp macro="">
      <xdr:nvCxnSpPr>
        <xdr:cNvPr id="6" name="Straight Arrow Connector 5">
          <a:extLst>
            <a:ext uri="{FF2B5EF4-FFF2-40B4-BE49-F238E27FC236}">
              <a16:creationId xmlns:a16="http://schemas.microsoft.com/office/drawing/2014/main" id="{97746461-740C-7EE3-1CEB-291817BD6366}"/>
            </a:ext>
          </a:extLst>
        </xdr:cNvPr>
        <xdr:cNvCxnSpPr/>
      </xdr:nvCxnSpPr>
      <xdr:spPr>
        <a:xfrm>
          <a:off x="1857373" y="3619500"/>
          <a:ext cx="95252" cy="457200"/>
        </a:xfrm>
        <a:prstGeom prst="straightConnector1">
          <a:avLst/>
        </a:prstGeom>
        <a:ln w="38100">
          <a:solidFill>
            <a:srgbClr val="EE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4</xdr:col>
      <xdr:colOff>341843</xdr:colOff>
      <xdr:row>19</xdr:row>
      <xdr:rowOff>13758</xdr:rowOff>
    </xdr:from>
    <xdr:to>
      <xdr:col>12</xdr:col>
      <xdr:colOff>398993</xdr:colOff>
      <xdr:row>25</xdr:row>
      <xdr:rowOff>317261</xdr:rowOff>
    </xdr:to>
    <xdr:pic>
      <xdr:nvPicPr>
        <xdr:cNvPr id="8" name="Picture 7">
          <a:extLst>
            <a:ext uri="{FF2B5EF4-FFF2-40B4-BE49-F238E27FC236}">
              <a16:creationId xmlns:a16="http://schemas.microsoft.com/office/drawing/2014/main" id="{D10ECCE7-964D-000F-1ACA-E5CDE4684F1D}"/>
            </a:ext>
          </a:extLst>
        </xdr:cNvPr>
        <xdr:cNvPicPr>
          <a:picLocks noChangeAspect="1"/>
        </xdr:cNvPicPr>
      </xdr:nvPicPr>
      <xdr:blipFill>
        <a:blip xmlns:r="http://schemas.openxmlformats.org/officeDocument/2006/relationships" r:embed="rId3"/>
        <a:stretch>
          <a:fillRect/>
        </a:stretch>
      </xdr:blipFill>
      <xdr:spPr>
        <a:xfrm>
          <a:off x="2797176" y="6046258"/>
          <a:ext cx="4967817" cy="2526003"/>
        </a:xfrm>
        <a:prstGeom prst="rect">
          <a:avLst/>
        </a:prstGeom>
      </xdr:spPr>
    </xdr:pic>
    <xdr:clientData/>
  </xdr:twoCellAnchor>
  <xdr:twoCellAnchor editAs="oneCell">
    <xdr:from>
      <xdr:col>5</xdr:col>
      <xdr:colOff>296333</xdr:colOff>
      <xdr:row>28</xdr:row>
      <xdr:rowOff>31750</xdr:rowOff>
    </xdr:from>
    <xdr:to>
      <xdr:col>12</xdr:col>
      <xdr:colOff>419717</xdr:colOff>
      <xdr:row>33</xdr:row>
      <xdr:rowOff>32966</xdr:rowOff>
    </xdr:to>
    <xdr:pic>
      <xdr:nvPicPr>
        <xdr:cNvPr id="9" name="Picture 8">
          <a:extLst>
            <a:ext uri="{FF2B5EF4-FFF2-40B4-BE49-F238E27FC236}">
              <a16:creationId xmlns:a16="http://schemas.microsoft.com/office/drawing/2014/main" id="{C44AFDA9-D90C-6250-8D71-AE66E0D20F0A}"/>
            </a:ext>
          </a:extLst>
        </xdr:cNvPr>
        <xdr:cNvPicPr>
          <a:picLocks noChangeAspect="1"/>
        </xdr:cNvPicPr>
      </xdr:nvPicPr>
      <xdr:blipFill>
        <a:blip xmlns:r="http://schemas.openxmlformats.org/officeDocument/2006/relationships" r:embed="rId4"/>
        <a:stretch>
          <a:fillRect/>
        </a:stretch>
      </xdr:blipFill>
      <xdr:spPr>
        <a:xfrm>
          <a:off x="3365500" y="9461500"/>
          <a:ext cx="4420217" cy="1133633"/>
        </a:xfrm>
        <a:prstGeom prst="rect">
          <a:avLst/>
        </a:prstGeom>
      </xdr:spPr>
    </xdr:pic>
    <xdr:clientData/>
  </xdr:twoCellAnchor>
  <xdr:twoCellAnchor>
    <xdr:from>
      <xdr:col>10</xdr:col>
      <xdr:colOff>571500</xdr:colOff>
      <xdr:row>29</xdr:row>
      <xdr:rowOff>127000</xdr:rowOff>
    </xdr:from>
    <xdr:to>
      <xdr:col>12</xdr:col>
      <xdr:colOff>518583</xdr:colOff>
      <xdr:row>32</xdr:row>
      <xdr:rowOff>116416</xdr:rowOff>
    </xdr:to>
    <xdr:sp macro="" textlink="">
      <xdr:nvSpPr>
        <xdr:cNvPr id="10" name="Oval 9">
          <a:extLst>
            <a:ext uri="{FF2B5EF4-FFF2-40B4-BE49-F238E27FC236}">
              <a16:creationId xmlns:a16="http://schemas.microsoft.com/office/drawing/2014/main" id="{95D4D680-4D3F-3FC3-3656-463942C473C5}"/>
            </a:ext>
          </a:extLst>
        </xdr:cNvPr>
        <xdr:cNvSpPr/>
      </xdr:nvSpPr>
      <xdr:spPr>
        <a:xfrm>
          <a:off x="6709833" y="9927167"/>
          <a:ext cx="1174750" cy="560916"/>
        </a:xfrm>
        <a:prstGeom prst="ellipse">
          <a:avLst/>
        </a:prstGeom>
        <a:noFill/>
        <a:ln w="28575">
          <a:solidFill>
            <a:srgbClr val="EE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Austin Shwatal" id="{9D80EE05-D4AA-406A-8286-84A8E562A36F}" userId="S::Austin.Shwatal@lochgroup.com::5564d377-97fb-423b-acdd-c5cb1f96b0d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39" dT="2025-06-27T20:55:37.93" personId="{9D80EE05-D4AA-406A-8286-84A8E562A36F}" id="{46578509-F78B-4109-814A-2849134E4929}">
    <text>1. https://www.corpuschristi-mpo.org/rsap/Regional-Safety-Action-Plan_Approved-20241003.pdf
This Safety Action Plan uses a similar BCA method, beginning on page 49</text>
    <extLst>
      <x:ext xmlns:xltc2="http://schemas.microsoft.com/office/spreadsheetml/2020/threadedcomments2" uri="{F7C98A9C-CBB3-438F-8F68-D28B6AF4A901}">
        <xltc2:checksum>3007756283</xltc2:checksum>
        <xltc2:hyperlink startIndex="3" length="88" url="https://www.corpuschristi-mpo.org/rsap/Regional-Safety-Action-Plan_Approved-20241003.pdf"/>
      </x:ext>
    </extLst>
  </threadedComment>
</ThreadedComments>
</file>

<file path=xl/threadedComments/threadedComment2.xml><?xml version="1.0" encoding="utf-8"?>
<ThreadedComments xmlns="http://schemas.microsoft.com/office/spreadsheetml/2018/threadedcomments" xmlns:x="http://schemas.openxmlformats.org/spreadsheetml/2006/main">
  <threadedComment ref="I3" dT="2025-06-27T15:38:26.52" personId="{9D80EE05-D4AA-406A-8286-84A8E562A36F}" id="{6E941173-2F99-46F3-AC4F-A6FBC9907832}">
    <text>Curb Extensions are a “best practice” in traffic calming but are not yet a part of the CMF Clearing house. Curb Extensions are on the CMF Most Wanted List: https://cmfclearinghouse.fhwa.dot.gov/most_wanted.php</text>
    <extLst>
      <x:ext xmlns:xltc2="http://schemas.microsoft.com/office/spreadsheetml/2020/threadedcomments2" uri="{F7C98A9C-CBB3-438F-8F68-D28B6AF4A901}">
        <xltc2:checksum>2635892336</xltc2:checksum>
        <xltc2:hyperlink startIndex="156" length="53" url="https://cmfclearinghouse.fhwa.dot.gov/most_wanted.php"/>
      </x:ext>
    </extLst>
  </threadedComment>
</ThreadedComments>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cmfclearinghouse.fhwa.dot.gov/index.php" TargetMode="External"/><Relationship Id="rId7" Type="http://schemas.openxmlformats.org/officeDocument/2006/relationships/vmlDrawing" Target="../drawings/vmlDrawing1.vml"/><Relationship Id="rId2" Type="http://schemas.openxmlformats.org/officeDocument/2006/relationships/hyperlink" Target="https://highways.dot.gov/sites/fhwa.dot.gov/files/2022-09/fhwasa17071.pdf" TargetMode="External"/><Relationship Id="rId1" Type="http://schemas.openxmlformats.org/officeDocument/2006/relationships/hyperlink" Target="https://cmfclearinghouse.fhwa.dot.gov/userguide_advancedusers.php"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pedbikeinfo.org/downloads/Countermeasure%20Costs_Report_Nov2013.pdf" TargetMode="External"/><Relationship Id="rId9"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CB875-4CCB-4549-B5A1-9C54F4EC198B}">
  <dimension ref="A1:IS55"/>
  <sheetViews>
    <sheetView showGridLines="0" topLeftCell="A42" zoomScale="90" zoomScaleNormal="90" workbookViewId="0">
      <selection activeCell="K40" sqref="K40"/>
    </sheetView>
  </sheetViews>
  <sheetFormatPr defaultColWidth="0" defaultRowHeight="14.5" zeroHeight="1" x14ac:dyDescent="0.35"/>
  <cols>
    <col min="1" max="18" width="9.1796875" customWidth="1"/>
    <col min="19" max="253" width="0" hidden="1" customWidth="1"/>
    <col min="254" max="16384" width="9.1796875" hidden="1"/>
  </cols>
  <sheetData>
    <row r="1" spans="1:18" x14ac:dyDescent="0.35">
      <c r="A1" s="37"/>
      <c r="B1" s="37"/>
      <c r="C1" s="37"/>
      <c r="D1" s="37"/>
      <c r="E1" s="37"/>
      <c r="F1" s="37"/>
      <c r="G1" s="37"/>
      <c r="H1" s="37"/>
      <c r="I1" s="37"/>
      <c r="J1" s="37"/>
      <c r="K1" s="37"/>
      <c r="L1" s="37"/>
      <c r="M1" s="37"/>
      <c r="N1" s="37"/>
      <c r="O1" s="37"/>
      <c r="P1" s="37"/>
      <c r="Q1" s="37"/>
      <c r="R1" s="37"/>
    </row>
    <row r="2" spans="1:18" x14ac:dyDescent="0.35">
      <c r="A2" s="37"/>
      <c r="B2" s="37"/>
      <c r="C2" s="37"/>
      <c r="D2" s="37"/>
      <c r="E2" s="37"/>
      <c r="F2" s="37"/>
      <c r="G2" s="37"/>
      <c r="H2" s="37"/>
      <c r="I2" s="37"/>
      <c r="J2" s="37"/>
      <c r="K2" s="37"/>
      <c r="L2" s="37"/>
      <c r="M2" s="37"/>
      <c r="N2" s="37"/>
      <c r="O2" s="37"/>
      <c r="P2" s="37"/>
      <c r="Q2" s="37"/>
      <c r="R2" s="37"/>
    </row>
    <row r="3" spans="1:18" x14ac:dyDescent="0.35">
      <c r="A3" s="37"/>
      <c r="B3" s="37"/>
      <c r="C3" s="37"/>
      <c r="D3" s="37"/>
      <c r="E3" s="37"/>
      <c r="F3" s="37"/>
      <c r="G3" s="37"/>
      <c r="H3" s="37"/>
      <c r="I3" s="37"/>
      <c r="J3" s="37"/>
      <c r="K3" s="37"/>
      <c r="L3" s="37"/>
      <c r="M3" s="37"/>
      <c r="N3" s="37"/>
      <c r="O3" s="37"/>
      <c r="P3" s="37"/>
      <c r="Q3" s="37"/>
      <c r="R3" s="37"/>
    </row>
    <row r="4" spans="1:18" x14ac:dyDescent="0.35">
      <c r="A4" s="37"/>
      <c r="B4" s="37"/>
      <c r="C4" s="37"/>
      <c r="D4" s="37"/>
      <c r="E4" s="37"/>
      <c r="F4" s="37"/>
      <c r="G4" s="37"/>
      <c r="H4" s="37"/>
      <c r="I4" s="37"/>
      <c r="J4" s="37"/>
      <c r="K4" s="37"/>
      <c r="L4" s="37"/>
      <c r="M4" s="37"/>
      <c r="N4" s="37"/>
      <c r="O4" s="37"/>
      <c r="P4" s="37"/>
      <c r="Q4" s="37"/>
      <c r="R4" s="37"/>
    </row>
    <row r="5" spans="1:18" x14ac:dyDescent="0.35">
      <c r="A5" s="36" t="s">
        <v>0</v>
      </c>
      <c r="B5" s="36"/>
      <c r="C5" s="36"/>
      <c r="D5" s="36"/>
      <c r="E5" s="36"/>
      <c r="F5" s="36"/>
      <c r="G5" s="36"/>
      <c r="H5" s="36"/>
      <c r="I5" s="36"/>
      <c r="J5" s="36"/>
      <c r="K5" s="36"/>
      <c r="L5" s="36"/>
      <c r="M5" s="36"/>
      <c r="N5" s="36"/>
      <c r="O5" s="36"/>
      <c r="P5" s="36"/>
      <c r="Q5" s="36"/>
      <c r="R5" s="36"/>
    </row>
    <row r="6" spans="1:18" x14ac:dyDescent="0.35">
      <c r="A6" s="36"/>
      <c r="B6" s="36"/>
      <c r="C6" s="36"/>
      <c r="D6" s="36"/>
      <c r="E6" s="36"/>
      <c r="F6" s="36"/>
      <c r="G6" s="36"/>
      <c r="H6" s="36"/>
      <c r="I6" s="36"/>
      <c r="J6" s="36"/>
      <c r="K6" s="36"/>
      <c r="L6" s="36"/>
      <c r="M6" s="36"/>
      <c r="N6" s="36"/>
      <c r="O6" s="36"/>
      <c r="P6" s="36"/>
      <c r="Q6" s="36"/>
      <c r="R6" s="36"/>
    </row>
    <row r="7" spans="1:18" ht="21" x14ac:dyDescent="0.5">
      <c r="A7" s="14"/>
      <c r="B7" s="14"/>
      <c r="C7" s="14"/>
      <c r="D7" s="14"/>
      <c r="E7" s="14"/>
      <c r="F7" s="14"/>
      <c r="G7" s="14"/>
      <c r="H7" s="14"/>
      <c r="I7" s="14"/>
      <c r="J7" s="14"/>
      <c r="K7" s="14"/>
      <c r="L7" s="14"/>
      <c r="M7" s="14"/>
      <c r="N7" s="14"/>
      <c r="O7" s="14"/>
      <c r="P7" s="14"/>
      <c r="Q7" s="14"/>
      <c r="R7" s="14"/>
    </row>
    <row r="8" spans="1:18" ht="21" customHeight="1" x14ac:dyDescent="0.45">
      <c r="A8" s="35" t="s">
        <v>1</v>
      </c>
      <c r="B8" s="35"/>
      <c r="C8" s="35"/>
      <c r="D8" s="35"/>
      <c r="E8" s="35"/>
      <c r="F8" s="35"/>
      <c r="G8" s="35"/>
      <c r="H8" s="35"/>
      <c r="I8" s="35"/>
      <c r="J8" s="35"/>
      <c r="K8" s="35"/>
      <c r="L8" s="35"/>
      <c r="M8" s="35"/>
      <c r="N8" s="35"/>
      <c r="O8" s="35"/>
      <c r="P8" s="35"/>
      <c r="Q8" s="35"/>
      <c r="R8" s="35"/>
    </row>
    <row r="9" spans="1:18" ht="46.5" customHeight="1" x14ac:dyDescent="0.35">
      <c r="A9" s="38" t="s">
        <v>2</v>
      </c>
      <c r="B9" s="38"/>
      <c r="C9" s="38"/>
      <c r="D9" s="38"/>
      <c r="E9" s="38"/>
      <c r="F9" s="38"/>
      <c r="G9" s="38"/>
      <c r="H9" s="38"/>
      <c r="I9" s="38"/>
      <c r="J9" s="38"/>
      <c r="K9" s="38"/>
      <c r="L9" s="38"/>
      <c r="M9" s="38"/>
      <c r="N9" s="38"/>
      <c r="O9" s="38"/>
      <c r="P9" s="38"/>
      <c r="Q9" s="38"/>
      <c r="R9" s="38"/>
    </row>
    <row r="10" spans="1:18" ht="29.25" customHeight="1" x14ac:dyDescent="0.45">
      <c r="A10" s="35" t="s">
        <v>3</v>
      </c>
      <c r="B10" s="35"/>
      <c r="C10" s="35"/>
      <c r="D10" s="35"/>
      <c r="E10" s="35"/>
      <c r="F10" s="35"/>
      <c r="G10" s="35"/>
      <c r="H10" s="35"/>
      <c r="I10" s="35"/>
      <c r="J10" s="35"/>
      <c r="K10" s="35"/>
      <c r="L10" s="35"/>
      <c r="M10" s="35"/>
      <c r="N10" s="35"/>
      <c r="O10" s="35"/>
      <c r="P10" s="35"/>
      <c r="Q10" s="35"/>
      <c r="R10" s="35"/>
    </row>
    <row r="11" spans="1:18" ht="34.5" customHeight="1" x14ac:dyDescent="0.35">
      <c r="A11" s="34" t="s">
        <v>4</v>
      </c>
      <c r="B11" s="34"/>
      <c r="C11" s="34"/>
      <c r="D11" s="34"/>
      <c r="E11" s="34"/>
      <c r="F11" s="34"/>
      <c r="G11" s="34"/>
      <c r="H11" s="34"/>
      <c r="I11" s="34"/>
      <c r="J11" s="34"/>
      <c r="K11" s="34"/>
      <c r="L11" s="34"/>
      <c r="M11" s="34"/>
      <c r="N11" s="34"/>
      <c r="O11" s="34"/>
      <c r="P11" s="34"/>
      <c r="Q11" s="34"/>
      <c r="R11" s="34"/>
    </row>
    <row r="12" spans="1:18" ht="29.25" customHeight="1" x14ac:dyDescent="0.35">
      <c r="A12" s="39" t="s">
        <v>5</v>
      </c>
      <c r="B12" s="39"/>
      <c r="C12" s="39"/>
      <c r="D12" s="39"/>
      <c r="E12" s="39"/>
      <c r="F12" s="39"/>
      <c r="G12" s="39"/>
      <c r="H12" s="39"/>
      <c r="I12" s="39"/>
      <c r="J12" s="39"/>
      <c r="K12" s="39"/>
      <c r="L12" s="39"/>
      <c r="M12" s="39"/>
      <c r="N12" s="39"/>
      <c r="O12" s="39"/>
      <c r="P12" s="39"/>
      <c r="Q12" s="39"/>
      <c r="R12" s="10"/>
    </row>
    <row r="13" spans="1:18" ht="29.25" customHeight="1" x14ac:dyDescent="0.35">
      <c r="B13" s="10"/>
      <c r="C13" s="10"/>
      <c r="D13" s="10"/>
      <c r="E13" s="10"/>
      <c r="F13" s="10"/>
      <c r="G13" s="10"/>
      <c r="H13" s="10"/>
      <c r="I13" s="10"/>
      <c r="J13" s="10"/>
      <c r="K13" s="10"/>
      <c r="L13" s="10"/>
      <c r="M13" s="10"/>
      <c r="N13" s="10"/>
      <c r="O13" s="10"/>
      <c r="P13" s="10"/>
      <c r="Q13" s="10"/>
      <c r="R13" s="10"/>
    </row>
    <row r="14" spans="1:18" ht="29.25" customHeight="1" x14ac:dyDescent="0.35">
      <c r="B14" s="10"/>
      <c r="C14" s="10"/>
      <c r="D14" s="10"/>
      <c r="E14" s="10"/>
      <c r="F14" s="10"/>
      <c r="G14" s="10"/>
      <c r="H14" s="10"/>
      <c r="I14" s="10"/>
      <c r="J14" s="10"/>
      <c r="K14" s="10"/>
      <c r="L14" s="10"/>
      <c r="M14" s="10"/>
      <c r="N14" s="10"/>
      <c r="O14" s="10"/>
      <c r="P14" s="10"/>
      <c r="Q14" s="10"/>
      <c r="R14" s="10"/>
    </row>
    <row r="15" spans="1:18" ht="29.25" customHeight="1" x14ac:dyDescent="0.35">
      <c r="B15" s="10"/>
      <c r="C15" s="10"/>
      <c r="D15" s="10"/>
      <c r="E15" s="10"/>
      <c r="F15" s="10"/>
      <c r="G15" s="10"/>
      <c r="H15" s="10"/>
      <c r="I15" s="10"/>
      <c r="J15" s="10"/>
      <c r="K15" s="10"/>
      <c r="L15" s="10"/>
      <c r="M15" s="10"/>
      <c r="N15" s="10"/>
      <c r="O15" s="10"/>
      <c r="P15" s="10"/>
      <c r="Q15" s="10"/>
      <c r="R15" s="10"/>
    </row>
    <row r="16" spans="1:18" ht="29.25" customHeight="1" x14ac:dyDescent="0.35">
      <c r="B16" s="10"/>
      <c r="C16" s="10"/>
      <c r="D16" s="10"/>
      <c r="E16" s="10"/>
      <c r="F16" s="10"/>
      <c r="G16" s="10"/>
      <c r="H16" s="10"/>
      <c r="I16" s="10"/>
      <c r="J16" s="10"/>
      <c r="K16" s="10"/>
      <c r="L16" s="10"/>
      <c r="M16" s="10"/>
      <c r="N16" s="10"/>
      <c r="O16" s="10"/>
      <c r="P16" s="10"/>
      <c r="Q16" s="10"/>
      <c r="R16" s="10"/>
    </row>
    <row r="17" spans="1:18" ht="29.25" customHeight="1" x14ac:dyDescent="0.35">
      <c r="B17" s="10"/>
      <c r="C17" s="10"/>
      <c r="D17" s="10"/>
      <c r="E17" s="10"/>
      <c r="F17" s="10"/>
      <c r="G17" s="10"/>
      <c r="H17" s="10"/>
      <c r="I17" s="10"/>
      <c r="J17" s="10"/>
      <c r="K17" s="10"/>
      <c r="L17" s="10"/>
      <c r="M17" s="10"/>
      <c r="N17" s="10"/>
      <c r="O17" s="10"/>
      <c r="P17" s="10"/>
      <c r="Q17" s="10"/>
      <c r="R17" s="10"/>
    </row>
    <row r="18" spans="1:18" ht="29.25" customHeight="1" x14ac:dyDescent="0.35">
      <c r="B18" s="10"/>
      <c r="C18" s="10"/>
      <c r="D18" s="10"/>
      <c r="E18" s="10"/>
      <c r="F18" s="10"/>
      <c r="G18" s="10"/>
      <c r="H18" s="10"/>
      <c r="I18" s="10"/>
      <c r="J18" s="10"/>
      <c r="K18" s="10"/>
      <c r="L18" s="10"/>
      <c r="M18" s="10"/>
      <c r="N18" s="10"/>
      <c r="O18" s="10"/>
      <c r="P18" s="10"/>
      <c r="Q18" s="10"/>
      <c r="R18" s="10"/>
    </row>
    <row r="19" spans="1:18" ht="29.25" customHeight="1" x14ac:dyDescent="0.35">
      <c r="A19" s="34" t="s">
        <v>6</v>
      </c>
      <c r="B19" s="34"/>
      <c r="C19" s="34"/>
      <c r="D19" s="34"/>
      <c r="E19" s="34"/>
      <c r="F19" s="34"/>
      <c r="G19" s="34"/>
      <c r="H19" s="34"/>
      <c r="I19" s="34"/>
      <c r="J19" s="34"/>
      <c r="K19" s="34"/>
      <c r="L19" s="34"/>
      <c r="M19" s="34"/>
      <c r="N19" s="34"/>
      <c r="O19" s="34"/>
      <c r="P19" s="34"/>
      <c r="Q19" s="34"/>
      <c r="R19" s="34"/>
    </row>
    <row r="20" spans="1:18" ht="29.25" customHeight="1" x14ac:dyDescent="0.35">
      <c r="B20" s="10"/>
      <c r="C20" s="10"/>
      <c r="D20" s="10"/>
      <c r="E20" s="10"/>
      <c r="F20" s="10"/>
      <c r="G20" s="10"/>
      <c r="H20" s="10"/>
      <c r="I20" s="10"/>
      <c r="J20" s="10"/>
      <c r="K20" s="10"/>
      <c r="L20" s="10"/>
      <c r="M20" s="10"/>
      <c r="N20" s="10"/>
      <c r="O20" s="10"/>
      <c r="P20" s="10"/>
      <c r="Q20" s="10"/>
      <c r="R20" s="10"/>
    </row>
    <row r="21" spans="1:18" ht="29.25" customHeight="1" x14ac:dyDescent="0.35">
      <c r="B21" s="10"/>
      <c r="C21" s="10"/>
      <c r="D21" s="10"/>
      <c r="E21" s="10"/>
      <c r="F21" s="10"/>
      <c r="G21" s="10"/>
      <c r="H21" s="10"/>
      <c r="I21" s="10"/>
      <c r="J21" s="10"/>
      <c r="K21" s="10"/>
      <c r="L21" s="10"/>
      <c r="M21" s="10"/>
      <c r="N21" s="10"/>
      <c r="O21" s="10"/>
      <c r="P21" s="10"/>
      <c r="Q21" s="10"/>
      <c r="R21" s="10"/>
    </row>
    <row r="22" spans="1:18" ht="29.25" customHeight="1" x14ac:dyDescent="0.35">
      <c r="B22" s="10"/>
      <c r="C22" s="10"/>
      <c r="D22" s="10"/>
      <c r="E22" s="10"/>
      <c r="F22" s="10"/>
      <c r="G22" s="10"/>
      <c r="H22" s="10"/>
      <c r="I22" s="10"/>
      <c r="J22" s="10"/>
      <c r="K22" s="10"/>
      <c r="L22" s="10"/>
      <c r="M22" s="10"/>
      <c r="N22" s="10"/>
      <c r="O22" s="10"/>
      <c r="P22" s="10"/>
      <c r="Q22" s="10"/>
      <c r="R22" s="10"/>
    </row>
    <row r="23" spans="1:18" ht="29.25" customHeight="1" x14ac:dyDescent="0.35">
      <c r="B23" s="10"/>
      <c r="C23" s="10"/>
      <c r="D23" s="10"/>
      <c r="E23" s="10"/>
      <c r="F23" s="10"/>
      <c r="G23" s="10"/>
      <c r="H23" s="10"/>
      <c r="I23" s="10"/>
      <c r="J23" s="10"/>
      <c r="K23" s="10"/>
      <c r="L23" s="10"/>
      <c r="M23" s="10"/>
      <c r="N23" s="10"/>
      <c r="O23" s="10"/>
      <c r="P23" s="10"/>
      <c r="Q23" s="10"/>
      <c r="R23" s="10"/>
    </row>
    <row r="24" spans="1:18" ht="29.25" customHeight="1" x14ac:dyDescent="0.35">
      <c r="B24" s="10"/>
      <c r="C24" s="10"/>
      <c r="D24" s="10"/>
      <c r="E24" s="10"/>
      <c r="F24" s="10"/>
      <c r="G24" s="10"/>
      <c r="H24" s="10"/>
      <c r="I24" s="10"/>
      <c r="J24" s="10"/>
      <c r="K24" s="10"/>
      <c r="L24" s="10"/>
      <c r="M24" s="10"/>
      <c r="N24" s="10"/>
      <c r="O24" s="10"/>
      <c r="P24" s="10"/>
      <c r="Q24" s="10"/>
      <c r="R24" s="10"/>
    </row>
    <row r="25" spans="1:18" ht="29.25" customHeight="1" x14ac:dyDescent="0.35">
      <c r="B25" s="10"/>
      <c r="C25" s="10"/>
      <c r="D25" s="10"/>
      <c r="E25" s="10"/>
      <c r="F25" s="10"/>
      <c r="G25" s="10"/>
      <c r="H25" s="10"/>
      <c r="I25" s="10"/>
      <c r="J25" s="10"/>
      <c r="K25" s="10"/>
      <c r="L25" s="10"/>
      <c r="M25" s="10"/>
      <c r="N25" s="10"/>
      <c r="O25" s="10"/>
      <c r="P25" s="10"/>
      <c r="Q25" s="10"/>
      <c r="R25" s="10"/>
    </row>
    <row r="26" spans="1:18" ht="29.25" customHeight="1" x14ac:dyDescent="0.35">
      <c r="B26" s="10"/>
      <c r="C26" s="10"/>
      <c r="D26" s="10"/>
      <c r="E26" s="10"/>
      <c r="F26" s="10"/>
      <c r="G26" s="10"/>
      <c r="H26" s="10"/>
      <c r="I26" s="10"/>
      <c r="J26" s="10"/>
      <c r="K26" s="10"/>
      <c r="L26" s="10"/>
      <c r="M26" s="10"/>
      <c r="N26" s="10"/>
      <c r="O26" s="10"/>
      <c r="P26" s="10"/>
      <c r="Q26" s="10"/>
      <c r="R26" s="10"/>
    </row>
    <row r="27" spans="1:18" ht="33.75" customHeight="1" x14ac:dyDescent="0.35">
      <c r="A27" s="15" t="s">
        <v>7</v>
      </c>
      <c r="B27" s="10"/>
      <c r="C27" s="10"/>
      <c r="D27" s="10"/>
      <c r="E27" s="10"/>
      <c r="F27" s="10"/>
      <c r="G27" s="10"/>
      <c r="H27" s="10"/>
      <c r="I27" s="10"/>
      <c r="J27" s="10"/>
      <c r="K27" s="10"/>
      <c r="L27" s="10"/>
      <c r="M27" s="10"/>
      <c r="N27" s="10"/>
      <c r="O27" s="10"/>
      <c r="P27" s="10"/>
      <c r="Q27" s="10"/>
      <c r="R27" s="10"/>
    </row>
    <row r="28" spans="1:18" ht="29.25" customHeight="1" x14ac:dyDescent="0.35">
      <c r="A28" s="34" t="s">
        <v>8</v>
      </c>
      <c r="B28" s="34"/>
      <c r="C28" s="34"/>
      <c r="D28" s="34"/>
      <c r="E28" s="34"/>
      <c r="F28" s="34"/>
      <c r="G28" s="34"/>
      <c r="H28" s="34"/>
      <c r="I28" s="34"/>
      <c r="J28" s="34"/>
      <c r="K28" s="34"/>
      <c r="L28" s="34"/>
      <c r="M28" s="34"/>
      <c r="N28" s="34"/>
      <c r="O28" s="34"/>
      <c r="P28" s="34"/>
      <c r="Q28" s="34"/>
      <c r="R28" s="34"/>
    </row>
    <row r="29" spans="1:18" ht="29.25" customHeight="1" x14ac:dyDescent="0.35">
      <c r="A29" s="10"/>
      <c r="B29" s="10"/>
      <c r="C29" s="10"/>
      <c r="D29" s="10"/>
      <c r="E29" s="10"/>
      <c r="F29" s="10"/>
      <c r="G29" s="10"/>
      <c r="H29" s="10"/>
      <c r="I29" s="10"/>
      <c r="J29" s="10"/>
      <c r="K29" s="10"/>
      <c r="L29" s="10"/>
      <c r="M29" s="10"/>
      <c r="N29" s="10"/>
      <c r="O29" s="10"/>
      <c r="P29" s="10"/>
      <c r="Q29" s="10"/>
      <c r="R29" s="10"/>
    </row>
    <row r="30" spans="1:18" ht="15" customHeight="1" x14ac:dyDescent="0.35"/>
    <row r="31" spans="1:18" ht="15" customHeight="1" x14ac:dyDescent="0.35"/>
    <row r="32" spans="1:18" ht="15" customHeight="1" x14ac:dyDescent="0.45">
      <c r="A32" s="8"/>
      <c r="B32" s="8"/>
      <c r="C32" s="8"/>
      <c r="D32" s="8"/>
      <c r="E32" s="8"/>
      <c r="F32" s="8"/>
      <c r="G32" s="8"/>
      <c r="H32" s="8"/>
      <c r="I32" s="8"/>
      <c r="J32" s="8"/>
      <c r="K32" s="8"/>
      <c r="L32" s="8"/>
      <c r="M32" s="8"/>
      <c r="N32" s="8"/>
      <c r="O32" s="8"/>
      <c r="P32" s="8"/>
      <c r="Q32" s="8"/>
      <c r="R32" s="8"/>
    </row>
    <row r="33" spans="1:18" ht="15" customHeight="1" x14ac:dyDescent="0.45">
      <c r="A33" s="8"/>
      <c r="B33" s="8"/>
      <c r="C33" s="8"/>
      <c r="D33" s="8"/>
      <c r="E33" s="8"/>
      <c r="F33" s="8"/>
      <c r="G33" s="8"/>
      <c r="H33" s="8"/>
      <c r="I33" s="8"/>
      <c r="J33" s="8"/>
      <c r="K33" s="8"/>
      <c r="L33" s="8"/>
      <c r="M33" s="8"/>
      <c r="N33" s="8"/>
      <c r="O33" s="8"/>
      <c r="P33" s="8"/>
      <c r="Q33" s="8"/>
      <c r="R33" s="8"/>
    </row>
    <row r="34" spans="1:18" ht="15" customHeight="1" x14ac:dyDescent="0.45">
      <c r="A34" s="8"/>
      <c r="B34" s="8"/>
      <c r="C34" s="8"/>
      <c r="D34" s="8"/>
      <c r="E34" s="8"/>
      <c r="F34" s="8"/>
      <c r="G34" s="8"/>
      <c r="H34" s="8"/>
      <c r="I34" s="8"/>
      <c r="J34" s="8"/>
      <c r="K34" s="8"/>
      <c r="L34" s="8"/>
      <c r="M34" s="8"/>
      <c r="N34" s="8"/>
      <c r="O34" s="8"/>
      <c r="P34" s="8"/>
      <c r="Q34" s="8"/>
      <c r="R34" s="8"/>
    </row>
    <row r="35" spans="1:18" ht="15" customHeight="1" x14ac:dyDescent="0.45">
      <c r="A35" s="11" t="s">
        <v>9</v>
      </c>
      <c r="B35" s="8"/>
      <c r="C35" s="8"/>
      <c r="D35" s="8"/>
      <c r="E35" s="8"/>
      <c r="F35" s="8"/>
      <c r="G35" s="8"/>
      <c r="H35" s="8"/>
      <c r="I35" s="8"/>
      <c r="J35" s="8"/>
      <c r="K35" s="8"/>
      <c r="L35" s="8"/>
      <c r="M35" s="8"/>
      <c r="N35" s="8"/>
      <c r="O35" s="8"/>
      <c r="P35" s="8"/>
      <c r="Q35" s="8"/>
      <c r="R35" s="8"/>
    </row>
    <row r="36" spans="1:18" ht="15" customHeight="1" x14ac:dyDescent="0.45">
      <c r="A36" s="8"/>
      <c r="B36" s="8"/>
      <c r="C36" s="8"/>
      <c r="D36" s="8"/>
      <c r="E36" s="8"/>
      <c r="F36" s="8"/>
      <c r="G36" s="8"/>
      <c r="H36" s="8"/>
      <c r="I36" s="8"/>
      <c r="J36" s="8"/>
      <c r="K36" s="8"/>
      <c r="L36" s="8"/>
      <c r="M36" s="8"/>
      <c r="N36" s="8"/>
      <c r="O36" s="8"/>
      <c r="P36" s="8"/>
      <c r="Q36" s="8"/>
      <c r="R36" s="8"/>
    </row>
    <row r="37" spans="1:18" ht="15" customHeight="1" x14ac:dyDescent="0.35">
      <c r="A37" s="35" t="s">
        <v>10</v>
      </c>
      <c r="B37" s="35"/>
      <c r="C37" s="35"/>
      <c r="D37" s="35"/>
      <c r="E37" s="35"/>
      <c r="F37" s="35"/>
      <c r="G37" s="35"/>
      <c r="H37" s="35"/>
      <c r="I37" s="35"/>
      <c r="J37" s="35"/>
      <c r="K37" s="35"/>
      <c r="L37" s="35"/>
      <c r="M37" s="35"/>
      <c r="N37" s="35"/>
      <c r="O37" s="35"/>
      <c r="P37" s="35"/>
      <c r="Q37" s="35"/>
      <c r="R37" s="35"/>
    </row>
    <row r="38" spans="1:18" ht="15" customHeight="1" x14ac:dyDescent="0.35">
      <c r="A38" s="35"/>
      <c r="B38" s="35"/>
      <c r="C38" s="35"/>
      <c r="D38" s="35"/>
      <c r="E38" s="35"/>
      <c r="F38" s="35"/>
      <c r="G38" s="35"/>
      <c r="H38" s="35"/>
      <c r="I38" s="35"/>
      <c r="J38" s="35"/>
      <c r="K38" s="35"/>
      <c r="L38" s="35"/>
      <c r="M38" s="35"/>
      <c r="N38" s="35"/>
      <c r="O38" s="35"/>
      <c r="P38" s="35"/>
      <c r="Q38" s="35"/>
      <c r="R38" s="35"/>
    </row>
    <row r="39" spans="1:18" ht="90" customHeight="1" x14ac:dyDescent="0.35">
      <c r="A39" s="38" t="s">
        <v>11</v>
      </c>
      <c r="B39" s="38"/>
      <c r="C39" s="38"/>
      <c r="D39" s="38"/>
      <c r="E39" s="38"/>
      <c r="F39" s="38"/>
      <c r="G39" s="38"/>
      <c r="H39" s="38"/>
      <c r="I39" s="38"/>
      <c r="J39" s="38"/>
      <c r="K39" s="38"/>
      <c r="L39" s="38"/>
      <c r="M39" s="38"/>
      <c r="N39" s="38"/>
      <c r="O39" s="38"/>
      <c r="P39" s="38"/>
      <c r="Q39" s="38"/>
      <c r="R39" s="38"/>
    </row>
    <row r="40" spans="1:18" x14ac:dyDescent="0.35"/>
    <row r="41" spans="1:18" x14ac:dyDescent="0.35">
      <c r="A41" t="s">
        <v>12</v>
      </c>
    </row>
    <row r="42" spans="1:18" x14ac:dyDescent="0.35">
      <c r="A42" s="2" t="s">
        <v>13</v>
      </c>
    </row>
    <row r="43" spans="1:18" x14ac:dyDescent="0.35"/>
    <row r="44" spans="1:18" ht="30.75" customHeight="1" x14ac:dyDescent="0.35">
      <c r="A44" s="34" t="s">
        <v>14</v>
      </c>
      <c r="B44" s="34"/>
      <c r="C44" s="34"/>
      <c r="D44" s="34"/>
      <c r="E44" s="34"/>
      <c r="F44" s="34"/>
      <c r="G44" s="34"/>
      <c r="H44" s="34"/>
      <c r="I44" s="34"/>
      <c r="J44" s="34"/>
      <c r="K44" s="34"/>
      <c r="L44" s="34"/>
      <c r="M44" s="34"/>
      <c r="N44" s="34"/>
      <c r="O44" s="34"/>
      <c r="P44" s="34"/>
      <c r="Q44" s="34"/>
      <c r="R44" s="34"/>
    </row>
    <row r="45" spans="1:18" x14ac:dyDescent="0.35"/>
    <row r="46" spans="1:18" ht="18.5" x14ac:dyDescent="0.45">
      <c r="A46" s="35" t="s">
        <v>15</v>
      </c>
      <c r="B46" s="35"/>
      <c r="C46" s="35"/>
      <c r="D46" s="35"/>
      <c r="E46" s="35"/>
      <c r="F46" s="35"/>
      <c r="G46" s="35"/>
      <c r="H46" s="35"/>
      <c r="I46" s="35"/>
      <c r="J46" s="35"/>
      <c r="K46" s="35"/>
      <c r="L46" s="35"/>
      <c r="M46" s="35"/>
      <c r="N46" s="35"/>
      <c r="O46" s="35"/>
      <c r="P46" s="35"/>
      <c r="Q46" s="35"/>
      <c r="R46" s="35"/>
    </row>
    <row r="47" spans="1:18" ht="63" customHeight="1" x14ac:dyDescent="0.35">
      <c r="A47" s="34" t="s">
        <v>16</v>
      </c>
      <c r="B47" s="34"/>
      <c r="C47" s="34"/>
      <c r="D47" s="34"/>
      <c r="E47" s="34"/>
      <c r="F47" s="34"/>
      <c r="G47" s="34"/>
      <c r="H47" s="34"/>
      <c r="I47" s="34"/>
      <c r="J47" s="34"/>
      <c r="K47" s="34"/>
      <c r="L47" s="34"/>
      <c r="M47" s="34"/>
      <c r="N47" s="34"/>
      <c r="O47" s="34"/>
      <c r="P47" s="34"/>
      <c r="Q47" s="34"/>
      <c r="R47" s="34"/>
    </row>
    <row r="48" spans="1:18" x14ac:dyDescent="0.35">
      <c r="A48" s="13" t="s">
        <v>17</v>
      </c>
      <c r="C48" s="13"/>
    </row>
    <row r="49" spans="1:18" x14ac:dyDescent="0.35"/>
    <row r="50" spans="1:18" ht="18.5" x14ac:dyDescent="0.45">
      <c r="A50" s="35" t="s">
        <v>18</v>
      </c>
      <c r="B50" s="35"/>
      <c r="C50" s="35"/>
      <c r="D50" s="35"/>
      <c r="E50" s="35"/>
      <c r="F50" s="35"/>
      <c r="G50" s="35"/>
      <c r="H50" s="35"/>
      <c r="I50" s="35"/>
      <c r="J50" s="35"/>
      <c r="K50" s="35"/>
      <c r="L50" s="35"/>
      <c r="M50" s="35"/>
      <c r="N50" s="35"/>
      <c r="O50" s="35"/>
      <c r="P50" s="35"/>
      <c r="Q50" s="35"/>
      <c r="R50" s="35"/>
    </row>
    <row r="51" spans="1:18" x14ac:dyDescent="0.35">
      <c r="A51" t="s">
        <v>19</v>
      </c>
      <c r="C51" s="13" t="s">
        <v>20</v>
      </c>
    </row>
    <row r="52" spans="1:18" x14ac:dyDescent="0.35">
      <c r="A52" t="s">
        <v>21</v>
      </c>
      <c r="C52" s="13" t="s">
        <v>22</v>
      </c>
    </row>
    <row r="53" spans="1:18" x14ac:dyDescent="0.35">
      <c r="A53" t="s">
        <v>23</v>
      </c>
      <c r="C53" s="13" t="s">
        <v>24</v>
      </c>
    </row>
    <row r="54" spans="1:18" x14ac:dyDescent="0.35"/>
    <row r="55" spans="1:18" x14ac:dyDescent="0.35">
      <c r="A55" t="s">
        <v>25</v>
      </c>
    </row>
  </sheetData>
  <mergeCells count="15">
    <mergeCell ref="A47:R47"/>
    <mergeCell ref="A50:R50"/>
    <mergeCell ref="A5:R6"/>
    <mergeCell ref="A1:R4"/>
    <mergeCell ref="A9:R9"/>
    <mergeCell ref="A37:R38"/>
    <mergeCell ref="A8:R8"/>
    <mergeCell ref="A39:R39"/>
    <mergeCell ref="A10:R10"/>
    <mergeCell ref="A46:R46"/>
    <mergeCell ref="A11:R11"/>
    <mergeCell ref="A12:Q12"/>
    <mergeCell ref="A19:R19"/>
    <mergeCell ref="A28:R28"/>
    <mergeCell ref="A44:R44"/>
  </mergeCells>
  <hyperlinks>
    <hyperlink ref="A48" r:id="rId1" xr:uid="{B721F1A0-A03E-40AB-9FDD-4D4BB8930B33}"/>
    <hyperlink ref="C53" r:id="rId2" xr:uid="{73BBDA1B-F896-4675-825B-42A785CF5C35}"/>
    <hyperlink ref="C51" r:id="rId3" xr:uid="{A7A53885-FDE6-4F69-903C-7C422552CD88}"/>
    <hyperlink ref="C52" r:id="rId4" xr:uid="{E0D52848-BA82-43D3-8CA7-CE5FB076DAE5}"/>
  </hyperlinks>
  <pageMargins left="0.7" right="0.7" top="0.75" bottom="0.75" header="0.3" footer="0.3"/>
  <pageSetup scale="24" fitToWidth="0" fitToHeight="0" orientation="portrait" r:id="rId5"/>
  <drawing r:id="rId6"/>
  <legacy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0C3FD-A3FF-466F-8472-58C58CFB0925}">
  <dimension ref="A1:Q44"/>
  <sheetViews>
    <sheetView tabSelected="1" workbookViewId="0">
      <selection activeCell="M30" sqref="M30"/>
    </sheetView>
  </sheetViews>
  <sheetFormatPr defaultRowHeight="14.5" x14ac:dyDescent="0.35"/>
  <cols>
    <col min="1" max="1" width="17.81640625" bestFit="1" customWidth="1"/>
    <col min="2" max="2" width="25" bestFit="1" customWidth="1"/>
    <col min="3" max="3" width="22.26953125" customWidth="1"/>
    <col min="4" max="4" width="14.81640625" bestFit="1" customWidth="1"/>
    <col min="5" max="5" width="10.1796875" customWidth="1"/>
    <col min="6" max="6" width="10.26953125" customWidth="1"/>
    <col min="7" max="8" width="17.54296875" bestFit="1" customWidth="1"/>
    <col min="9" max="9" width="27.26953125" bestFit="1" customWidth="1"/>
    <col min="10" max="10" width="6.1796875" customWidth="1"/>
    <col min="12" max="12" width="9.26953125" bestFit="1" customWidth="1"/>
    <col min="13" max="13" width="18.54296875" bestFit="1" customWidth="1"/>
    <col min="14" max="14" width="7.1796875" customWidth="1"/>
    <col min="15" max="15" width="10.1796875" bestFit="1" customWidth="1"/>
    <col min="16" max="16" width="15.54296875" bestFit="1" customWidth="1"/>
    <col min="17" max="17" width="14.81640625" bestFit="1" customWidth="1"/>
  </cols>
  <sheetData>
    <row r="1" spans="1:17" x14ac:dyDescent="0.35">
      <c r="A1" s="39" t="s">
        <v>26</v>
      </c>
      <c r="B1" s="39"/>
    </row>
    <row r="2" spans="1:17" x14ac:dyDescent="0.35">
      <c r="A2" s="40" t="s">
        <v>27</v>
      </c>
      <c r="B2" s="40"/>
    </row>
    <row r="3" spans="1:17" s="2" customFormat="1" x14ac:dyDescent="0.35">
      <c r="A3" s="2" t="s">
        <v>28</v>
      </c>
      <c r="B3" s="2" t="s">
        <v>29</v>
      </c>
      <c r="C3" s="2" t="s">
        <v>30</v>
      </c>
      <c r="D3" s="2" t="s">
        <v>31</v>
      </c>
      <c r="E3" s="2" t="s">
        <v>32</v>
      </c>
      <c r="F3" s="2" t="s">
        <v>33</v>
      </c>
      <c r="G3" s="2" t="s">
        <v>34</v>
      </c>
      <c r="H3" s="2" t="s">
        <v>35</v>
      </c>
      <c r="I3" s="2" t="s">
        <v>36</v>
      </c>
      <c r="J3" s="2" t="s">
        <v>37</v>
      </c>
      <c r="K3" s="2" t="s">
        <v>38</v>
      </c>
      <c r="L3" s="2" t="s">
        <v>39</v>
      </c>
      <c r="M3" s="2" t="s">
        <v>40</v>
      </c>
      <c r="N3" s="2" t="s">
        <v>41</v>
      </c>
      <c r="O3" s="2" t="s">
        <v>42</v>
      </c>
      <c r="P3" s="2" t="s">
        <v>43</v>
      </c>
      <c r="Q3" s="2" t="s">
        <v>44</v>
      </c>
    </row>
    <row r="4" spans="1:17" x14ac:dyDescent="0.35">
      <c r="A4" t="s">
        <v>45</v>
      </c>
      <c r="B4" s="6" t="s">
        <v>46</v>
      </c>
      <c r="C4" s="3">
        <f>VLOOKUP(B4, 'Crash Data'!H$3:N$13, 7, FALSE)</f>
        <v>1.9836199016751497</v>
      </c>
      <c r="D4">
        <f>VLOOKUP(B4, 'Crash Data'!H$3:N$13, 4, FALSE)</f>
        <v>29</v>
      </c>
      <c r="E4">
        <f>VLOOKUP(B4, 'Crash Data'!$H$3:$N$13, 5, FALSE)</f>
        <v>1</v>
      </c>
      <c r="F4">
        <f>D4-E4</f>
        <v>28</v>
      </c>
      <c r="G4" s="3">
        <f>E4/6</f>
        <v>0.16666666666666666</v>
      </c>
      <c r="H4" s="3">
        <f>F4/6</f>
        <v>4.666666666666667</v>
      </c>
      <c r="I4" s="6" t="s">
        <v>47</v>
      </c>
      <c r="J4">
        <f>VLOOKUP(I4, 'Improvement Types'!$A$2:$C$61, 2, FALSE)</f>
        <v>0.44</v>
      </c>
      <c r="K4">
        <f>1- J4</f>
        <v>0.56000000000000005</v>
      </c>
      <c r="L4">
        <f>VLOOKUP(I4, 'Improvement Types'!$A$2:$C$61, 3, FALSE)</f>
        <v>89000</v>
      </c>
      <c r="M4" t="str">
        <f>VLOOKUP(I4, 'Improvement Types'!$A$2:$D$61, 4, FALSE)</f>
        <v>per Mile</v>
      </c>
      <c r="N4" s="6">
        <v>1</v>
      </c>
      <c r="O4" s="7">
        <f>N4*L4</f>
        <v>89000</v>
      </c>
      <c r="P4" s="1">
        <f>(G4*'Crash Costs'!$B$1*K4 + H4*'Crash Costs'!$B$2*K4)*10</f>
        <v>19739742.400000002</v>
      </c>
      <c r="Q4" s="12">
        <f>P4/O4</f>
        <v>221.79485842696633</v>
      </c>
    </row>
    <row r="5" spans="1:17" x14ac:dyDescent="0.35">
      <c r="A5" t="s">
        <v>45</v>
      </c>
      <c r="B5" s="6" t="s">
        <v>46</v>
      </c>
      <c r="C5" s="3">
        <f>VLOOKUP(B5, 'Crash Data'!H$3:N$13, 7, FALSE)</f>
        <v>1.9836199016751497</v>
      </c>
      <c r="D5">
        <f>VLOOKUP(B5, 'Crash Data'!H$3:N$13, 4, FALSE)</f>
        <v>29</v>
      </c>
      <c r="E5">
        <f>VLOOKUP(B5, 'Crash Data'!$H$3:$N$13, 5, FALSE)</f>
        <v>1</v>
      </c>
      <c r="F5">
        <f t="shared" ref="F5:F22" si="0">D5-E5</f>
        <v>28</v>
      </c>
      <c r="G5" s="3">
        <f t="shared" ref="G5:G22" si="1">E5/6</f>
        <v>0.16666666666666666</v>
      </c>
      <c r="H5" s="3">
        <f t="shared" ref="H5:H22" si="2">F5/6</f>
        <v>4.666666666666667</v>
      </c>
      <c r="I5" s="6" t="s">
        <v>48</v>
      </c>
      <c r="J5">
        <f>VLOOKUP(I5, 'Improvement Types'!$A$2:$C$61, 2, FALSE)</f>
        <v>0.9</v>
      </c>
      <c r="K5">
        <f t="shared" ref="K5:K22" si="3">1- J5</f>
        <v>9.9999999999999978E-2</v>
      </c>
      <c r="L5">
        <f>VLOOKUP(I5, 'Improvement Types'!$A$2:$C$61, 3, FALSE)</f>
        <v>31000</v>
      </c>
      <c r="M5" t="str">
        <f>VLOOKUP(I5, 'Improvement Types'!$A$2:$D$61, 4, FALSE)</f>
        <v>Per implementation</v>
      </c>
      <c r="N5" s="6">
        <v>2</v>
      </c>
      <c r="O5" s="7">
        <f t="shared" ref="O5:O22" si="4">N5*L5</f>
        <v>62000</v>
      </c>
      <c r="P5" s="1">
        <f>(G5*'Crash Costs'!$B$1*K5 + H5*'Crash Costs'!$B$2*K5)*10</f>
        <v>3524953.9999999991</v>
      </c>
      <c r="Q5" s="12">
        <f t="shared" ref="Q5:Q22" si="5">P5/O5</f>
        <v>56.854096774193536</v>
      </c>
    </row>
    <row r="6" spans="1:17" x14ac:dyDescent="0.35">
      <c r="A6" t="s">
        <v>45</v>
      </c>
      <c r="B6" s="6" t="s">
        <v>46</v>
      </c>
      <c r="C6" s="3">
        <f>VLOOKUP(B6, 'Crash Data'!H$3:N$13, 7, FALSE)</f>
        <v>1.9836199016751497</v>
      </c>
      <c r="D6">
        <f>VLOOKUP(B6, 'Crash Data'!H$3:N$13, 4, FALSE)</f>
        <v>29</v>
      </c>
      <c r="E6">
        <f>VLOOKUP(B6, 'Crash Data'!$H$3:$N$13, 5, FALSE)</f>
        <v>1</v>
      </c>
      <c r="F6">
        <f t="shared" si="0"/>
        <v>28</v>
      </c>
      <c r="G6" s="3">
        <f t="shared" si="1"/>
        <v>0.16666666666666666</v>
      </c>
      <c r="H6" s="3">
        <f t="shared" si="2"/>
        <v>4.666666666666667</v>
      </c>
      <c r="I6" s="6" t="s">
        <v>49</v>
      </c>
      <c r="J6">
        <f>VLOOKUP(I6, 'Improvement Types'!$A$2:$C$61, 2, FALSE)</f>
        <v>0.52</v>
      </c>
      <c r="K6">
        <f t="shared" si="3"/>
        <v>0.48</v>
      </c>
      <c r="L6">
        <f>VLOOKUP(I6, 'Improvement Types'!$A$2:$C$61, 3, FALSE)</f>
        <v>100000</v>
      </c>
      <c r="M6" t="str">
        <f>VLOOKUP(I6, 'Improvement Types'!$A$2:$D$61, 4, FALSE)</f>
        <v>Per intersection or implementation</v>
      </c>
      <c r="N6" s="6">
        <v>4</v>
      </c>
      <c r="O6" s="7">
        <f t="shared" si="4"/>
        <v>400000</v>
      </c>
      <c r="P6" s="1">
        <f>(G6*'Crash Costs'!$B$1*K6 + H6*'Crash Costs'!$B$2*K6)*10</f>
        <v>16919779.199999999</v>
      </c>
      <c r="Q6" s="12">
        <f t="shared" si="5"/>
        <v>42.299447999999998</v>
      </c>
    </row>
    <row r="7" spans="1:17" x14ac:dyDescent="0.35">
      <c r="A7" t="s">
        <v>45</v>
      </c>
      <c r="B7" s="6" t="s">
        <v>50</v>
      </c>
      <c r="C7" s="3">
        <f>VLOOKUP(B7, 'Crash Data'!H$3:N$13, 7, FALSE)</f>
        <v>2.92</v>
      </c>
      <c r="D7">
        <f>VLOOKUP(B7, 'Crash Data'!H$3:N$13, 4, FALSE)</f>
        <v>28</v>
      </c>
      <c r="E7">
        <f>VLOOKUP(B7, 'Crash Data'!$H$3:$N$13, 5, FALSE)</f>
        <v>4</v>
      </c>
      <c r="F7">
        <f t="shared" si="0"/>
        <v>24</v>
      </c>
      <c r="G7" s="3">
        <f t="shared" si="1"/>
        <v>0.66666666666666663</v>
      </c>
      <c r="H7" s="3">
        <f t="shared" si="2"/>
        <v>4</v>
      </c>
      <c r="I7" s="6" t="s">
        <v>51</v>
      </c>
      <c r="J7">
        <f>VLOOKUP(I7, 'Improvement Types'!$A$2:$C$61, 2, FALSE)</f>
        <v>0.61</v>
      </c>
      <c r="K7">
        <f t="shared" si="3"/>
        <v>0.39</v>
      </c>
      <c r="L7">
        <f>VLOOKUP(I7, 'Improvement Types'!$A$2:$C$61, 3, FALSE)</f>
        <v>1000</v>
      </c>
      <c r="M7" t="str">
        <f>VLOOKUP(I7, 'Improvement Types'!$A$2:$D$61, 4, FALSE)</f>
        <v>Per implementation</v>
      </c>
      <c r="N7" s="6">
        <v>5</v>
      </c>
      <c r="O7" s="7">
        <f t="shared" si="4"/>
        <v>5000</v>
      </c>
      <c r="P7" s="1">
        <f>(G7*'Crash Costs'!$B$1*K7 + H7*'Crash Costs'!$B$2*K7)*10</f>
        <v>29006239.600000001</v>
      </c>
      <c r="Q7" s="12">
        <f t="shared" si="5"/>
        <v>5801.2479200000007</v>
      </c>
    </row>
    <row r="8" spans="1:17" x14ac:dyDescent="0.35">
      <c r="A8" t="s">
        <v>45</v>
      </c>
      <c r="B8" s="6" t="s">
        <v>52</v>
      </c>
      <c r="C8" s="3">
        <f>VLOOKUP(B8, 'Crash Data'!H$3:N$13, 7, FALSE)</f>
        <v>1.8237027667054291</v>
      </c>
      <c r="D8">
        <f>VLOOKUP(B8, 'Crash Data'!H$3:N$13, 4, FALSE)</f>
        <v>14</v>
      </c>
      <c r="E8">
        <f>VLOOKUP(B8, 'Crash Data'!$H$3:$N$13, 5, FALSE)</f>
        <v>3</v>
      </c>
      <c r="F8">
        <f t="shared" si="0"/>
        <v>11</v>
      </c>
      <c r="G8" s="3">
        <f t="shared" si="1"/>
        <v>0.5</v>
      </c>
      <c r="H8" s="3">
        <f t="shared" si="2"/>
        <v>1.8333333333333333</v>
      </c>
      <c r="I8" s="6" t="s">
        <v>51</v>
      </c>
      <c r="J8">
        <f>VLOOKUP(I8, 'Improvement Types'!$A$2:$C$61, 2, FALSE)</f>
        <v>0.61</v>
      </c>
      <c r="K8">
        <f t="shared" si="3"/>
        <v>0.39</v>
      </c>
      <c r="L8">
        <f>VLOOKUP(I8, 'Improvement Types'!$A$2:$C$61, 3, FALSE)</f>
        <v>1000</v>
      </c>
      <c r="M8" t="str">
        <f>VLOOKUP(I8, 'Improvement Types'!$A$2:$D$61, 4, FALSE)</f>
        <v>Per implementation</v>
      </c>
      <c r="N8" s="6">
        <v>5</v>
      </c>
      <c r="O8" s="7">
        <f t="shared" si="4"/>
        <v>5000</v>
      </c>
      <c r="P8" s="1">
        <f>(G8*'Crash Costs'!$B$1*K8 + H8*'Crash Costs'!$B$2*K8)*10</f>
        <v>19687846.75</v>
      </c>
      <c r="Q8" s="12">
        <f t="shared" si="5"/>
        <v>3937.5693500000002</v>
      </c>
    </row>
    <row r="9" spans="1:17" x14ac:dyDescent="0.35">
      <c r="A9" t="s">
        <v>45</v>
      </c>
      <c r="B9" s="6" t="s">
        <v>53</v>
      </c>
      <c r="C9" s="3">
        <f>VLOOKUP(B9, 'Crash Data'!H$3:N$13, 7, FALSE)</f>
        <v>2.1714522614380813</v>
      </c>
      <c r="D9">
        <f>VLOOKUP(B9, 'Crash Data'!H$3:N$13, 4, FALSE)</f>
        <v>26</v>
      </c>
      <c r="E9">
        <f>VLOOKUP(B9, 'Crash Data'!$H$3:$N$13, 5, FALSE)</f>
        <v>3</v>
      </c>
      <c r="F9">
        <f t="shared" si="0"/>
        <v>23</v>
      </c>
      <c r="G9" s="3">
        <f t="shared" si="1"/>
        <v>0.5</v>
      </c>
      <c r="H9" s="3">
        <f t="shared" si="2"/>
        <v>3.8333333333333335</v>
      </c>
      <c r="I9" s="6" t="s">
        <v>54</v>
      </c>
      <c r="J9">
        <f>VLOOKUP(I9, 'Improvement Types'!$A$2:$C$61, 2, FALSE)</f>
        <v>0.64</v>
      </c>
      <c r="K9">
        <f t="shared" si="3"/>
        <v>0.36</v>
      </c>
      <c r="L9">
        <f>VLOOKUP(I9, 'Improvement Types'!$A$2:$C$61, 3, FALSE)</f>
        <v>5000</v>
      </c>
      <c r="M9" t="str">
        <f>VLOOKUP(I9, 'Improvement Types'!$A$2:$D$61, 4, FALSE)</f>
        <v>Per implementation</v>
      </c>
      <c r="N9" s="6">
        <v>10</v>
      </c>
      <c r="O9" s="7">
        <f t="shared" si="4"/>
        <v>50000</v>
      </c>
      <c r="P9" s="1">
        <f>(G9*'Crash Costs'!$B$1*K9 + H9*'Crash Costs'!$B$2*K9)*10</f>
        <v>21443989.800000001</v>
      </c>
      <c r="Q9" s="12">
        <f t="shared" si="5"/>
        <v>428.879796</v>
      </c>
    </row>
    <row r="10" spans="1:17" x14ac:dyDescent="0.35">
      <c r="A10" t="s">
        <v>45</v>
      </c>
      <c r="B10" s="6" t="s">
        <v>53</v>
      </c>
      <c r="C10" s="3">
        <f>VLOOKUP(B10, 'Crash Data'!H$3:N$13, 7, FALSE)</f>
        <v>2.1714522614380813</v>
      </c>
      <c r="D10">
        <f>VLOOKUP(B10, 'Crash Data'!H$3:N$13, 4, FALSE)</f>
        <v>26</v>
      </c>
      <c r="E10">
        <f>VLOOKUP(B10, 'Crash Data'!$H$3:$N$13, 5, FALSE)</f>
        <v>3</v>
      </c>
      <c r="F10">
        <f t="shared" si="0"/>
        <v>23</v>
      </c>
      <c r="G10" s="3">
        <f t="shared" si="1"/>
        <v>0.5</v>
      </c>
      <c r="H10" s="3">
        <f t="shared" si="2"/>
        <v>3.8333333333333335</v>
      </c>
      <c r="I10" s="6" t="s">
        <v>55</v>
      </c>
      <c r="J10">
        <f>VLOOKUP(I10, 'Improvement Types'!$A$2:$C$61, 2, FALSE)</f>
        <v>0.55000000000000004</v>
      </c>
      <c r="K10">
        <f t="shared" si="3"/>
        <v>0.44999999999999996</v>
      </c>
      <c r="L10">
        <f>VLOOKUP(I10, 'Improvement Types'!$A$2:$C$61, 3, FALSE)</f>
        <v>108000</v>
      </c>
      <c r="M10" t="str">
        <f>VLOOKUP(I10, 'Improvement Types'!$A$2:$D$61, 4, FALSE)</f>
        <v>Per Mile</v>
      </c>
      <c r="N10" s="6">
        <v>2</v>
      </c>
      <c r="O10" s="7">
        <f t="shared" si="4"/>
        <v>216000</v>
      </c>
      <c r="P10" s="1">
        <f>(G10*'Crash Costs'!$B$1*K10 + H10*'Crash Costs'!$B$2*K10)*10</f>
        <v>26804987.249999996</v>
      </c>
      <c r="Q10" s="12">
        <f t="shared" si="5"/>
        <v>124.09716319444443</v>
      </c>
    </row>
    <row r="11" spans="1:17" x14ac:dyDescent="0.35">
      <c r="A11" t="s">
        <v>45</v>
      </c>
      <c r="B11" s="6" t="s">
        <v>56</v>
      </c>
      <c r="C11" s="3">
        <f>VLOOKUP(B11, 'Crash Data'!H$3:N$13, 7, FALSE)</f>
        <v>2.92</v>
      </c>
      <c r="D11">
        <f>VLOOKUP(B11, 'Crash Data'!H$3:N$13, 4, FALSE)</f>
        <v>23</v>
      </c>
      <c r="E11">
        <f>VLOOKUP(B11, 'Crash Data'!$H$3:$N$13, 5, FALSE)</f>
        <v>1</v>
      </c>
      <c r="F11">
        <f t="shared" si="0"/>
        <v>22</v>
      </c>
      <c r="G11" s="3">
        <f t="shared" si="1"/>
        <v>0.16666666666666666</v>
      </c>
      <c r="H11" s="3">
        <f t="shared" si="2"/>
        <v>3.6666666666666665</v>
      </c>
      <c r="I11" s="6"/>
      <c r="J11" t="e">
        <f>VLOOKUP(I11, 'Improvement Types'!$A$2:$C$61, 2, FALSE)</f>
        <v>#N/A</v>
      </c>
      <c r="K11" t="e">
        <f t="shared" si="3"/>
        <v>#N/A</v>
      </c>
      <c r="L11" t="e">
        <f>VLOOKUP(I11, 'Improvement Types'!$A$2:$C$61, 3, FALSE)</f>
        <v>#N/A</v>
      </c>
      <c r="M11" t="e">
        <f>VLOOKUP(I11, 'Improvement Types'!$A$2:$D$61, 4, FALSE)</f>
        <v>#N/A</v>
      </c>
      <c r="N11" s="6"/>
      <c r="O11" s="7" t="e">
        <f t="shared" si="4"/>
        <v>#N/A</v>
      </c>
      <c r="P11" s="1" t="e">
        <f>(G11*'Crash Costs'!$B$1*K11 + H11*'Crash Costs'!$B$2*K11)*10</f>
        <v>#N/A</v>
      </c>
      <c r="Q11" s="12" t="e">
        <f t="shared" si="5"/>
        <v>#N/A</v>
      </c>
    </row>
    <row r="12" spans="1:17" x14ac:dyDescent="0.35">
      <c r="A12" t="s">
        <v>45</v>
      </c>
      <c r="B12" s="6" t="s">
        <v>57</v>
      </c>
      <c r="C12" s="3">
        <f>VLOOKUP(B12, 'Crash Data'!H$3:N$13, 7, FALSE)</f>
        <v>1.2508194122658394</v>
      </c>
      <c r="D12">
        <f>VLOOKUP(B12, 'Crash Data'!H$3:N$13, 4, FALSE)</f>
        <v>11</v>
      </c>
      <c r="E12">
        <f>VLOOKUP(B12, 'Crash Data'!$H$3:$N$13, 5, FALSE)</f>
        <v>1</v>
      </c>
      <c r="F12">
        <f t="shared" si="0"/>
        <v>10</v>
      </c>
      <c r="G12" s="3">
        <f t="shared" si="1"/>
        <v>0.16666666666666666</v>
      </c>
      <c r="H12" s="3">
        <f t="shared" si="2"/>
        <v>1.6666666666666667</v>
      </c>
      <c r="I12" s="6"/>
      <c r="J12" t="e">
        <f>VLOOKUP(I12, 'Improvement Types'!$A$2:$C$61, 2, FALSE)</f>
        <v>#N/A</v>
      </c>
      <c r="K12" t="e">
        <f t="shared" si="3"/>
        <v>#N/A</v>
      </c>
      <c r="L12" t="e">
        <f>VLOOKUP(I12, 'Improvement Types'!$A$2:$C$61, 3, FALSE)</f>
        <v>#N/A</v>
      </c>
      <c r="M12" t="e">
        <f>VLOOKUP(I12, 'Improvement Types'!$A$2:$D$61, 4, FALSE)</f>
        <v>#N/A</v>
      </c>
      <c r="N12" s="6"/>
      <c r="O12" s="7" t="e">
        <f t="shared" si="4"/>
        <v>#N/A</v>
      </c>
      <c r="P12" s="1" t="e">
        <f>(G12*'Crash Costs'!$B$1*K12 + H12*'Crash Costs'!$B$2*K12)*10</f>
        <v>#N/A</v>
      </c>
      <c r="Q12" s="12" t="e">
        <f t="shared" si="5"/>
        <v>#N/A</v>
      </c>
    </row>
    <row r="13" spans="1:17" x14ac:dyDescent="0.35">
      <c r="A13" t="s">
        <v>45</v>
      </c>
      <c r="B13" s="6" t="s">
        <v>58</v>
      </c>
      <c r="C13" s="3">
        <f>VLOOKUP(B13, 'Crash Data'!H$3:N$13, 7, FALSE)</f>
        <v>2.9695842953245246</v>
      </c>
      <c r="D13">
        <f>VLOOKUP(B13, 'Crash Data'!H$3:N$13, 4, FALSE)</f>
        <v>30</v>
      </c>
      <c r="E13">
        <f>VLOOKUP(B13, 'Crash Data'!$H$3:$N$13, 5, FALSE)</f>
        <v>3</v>
      </c>
      <c r="F13">
        <f t="shared" si="0"/>
        <v>27</v>
      </c>
      <c r="G13" s="3">
        <f t="shared" si="1"/>
        <v>0.5</v>
      </c>
      <c r="H13" s="3">
        <f t="shared" si="2"/>
        <v>4.5</v>
      </c>
      <c r="I13" s="6"/>
      <c r="J13" t="e">
        <f>VLOOKUP(I13, 'Improvement Types'!$A$2:$C$61, 2, FALSE)</f>
        <v>#N/A</v>
      </c>
      <c r="K13" t="e">
        <f t="shared" si="3"/>
        <v>#N/A</v>
      </c>
      <c r="L13" t="e">
        <f>VLOOKUP(I13, 'Improvement Types'!$A$2:$C$61, 3, FALSE)</f>
        <v>#N/A</v>
      </c>
      <c r="M13" t="e">
        <f>VLOOKUP(I13, 'Improvement Types'!$A$2:$D$61, 4, FALSE)</f>
        <v>#N/A</v>
      </c>
      <c r="N13" s="6"/>
      <c r="O13" s="7" t="e">
        <f t="shared" si="4"/>
        <v>#N/A</v>
      </c>
      <c r="P13" s="1" t="e">
        <f>(G13*'Crash Costs'!$B$1*K13 + H13*'Crash Costs'!$B$2*K13)*10</f>
        <v>#N/A</v>
      </c>
      <c r="Q13" s="12" t="e">
        <f t="shared" si="5"/>
        <v>#N/A</v>
      </c>
    </row>
    <row r="14" spans="1:17" x14ac:dyDescent="0.35">
      <c r="A14" t="s">
        <v>45</v>
      </c>
      <c r="B14" s="6"/>
      <c r="C14" t="e">
        <f>VLOOKUP(B14, 'Crash Data'!H$3:N$13, 7, FALSE)</f>
        <v>#N/A</v>
      </c>
      <c r="D14" t="e">
        <f>VLOOKUP(B14, 'Crash Data'!H$3:N$13, 4, FALSE)</f>
        <v>#N/A</v>
      </c>
      <c r="E14" t="e">
        <f>VLOOKUP(B14, 'Crash Data'!$H$3:$N$13, 5, FALSE)</f>
        <v>#N/A</v>
      </c>
      <c r="F14" t="e">
        <f t="shared" si="0"/>
        <v>#N/A</v>
      </c>
      <c r="G14" s="3" t="e">
        <f t="shared" si="1"/>
        <v>#N/A</v>
      </c>
      <c r="H14" s="3" t="e">
        <f t="shared" si="2"/>
        <v>#N/A</v>
      </c>
      <c r="I14" s="6"/>
      <c r="J14" t="e">
        <f>VLOOKUP(I14, 'Improvement Types'!$A$2:$C$61, 2, FALSE)</f>
        <v>#N/A</v>
      </c>
      <c r="K14" t="e">
        <f t="shared" si="3"/>
        <v>#N/A</v>
      </c>
      <c r="L14" t="e">
        <f>VLOOKUP(I14, 'Improvement Types'!$A$2:$C$61, 3, FALSE)</f>
        <v>#N/A</v>
      </c>
      <c r="M14" t="e">
        <f>VLOOKUP(I14, 'Improvement Types'!$A$2:$D$61, 4, FALSE)</f>
        <v>#N/A</v>
      </c>
      <c r="N14" s="6"/>
      <c r="O14" s="7" t="e">
        <f t="shared" si="4"/>
        <v>#N/A</v>
      </c>
      <c r="P14" s="1" t="e">
        <f>(G14*'Crash Costs'!$B$1*K14 + H14*'Crash Costs'!$B$2*K14)*10</f>
        <v>#N/A</v>
      </c>
      <c r="Q14" s="12" t="e">
        <f t="shared" si="5"/>
        <v>#N/A</v>
      </c>
    </row>
    <row r="15" spans="1:17" x14ac:dyDescent="0.35">
      <c r="A15" t="s">
        <v>45</v>
      </c>
      <c r="B15" s="6"/>
      <c r="C15" t="e">
        <f>VLOOKUP(B15, 'Crash Data'!H$3:N$13, 7, FALSE)</f>
        <v>#N/A</v>
      </c>
      <c r="D15" t="e">
        <f>VLOOKUP(B15, 'Crash Data'!H$3:N$13, 4, FALSE)</f>
        <v>#N/A</v>
      </c>
      <c r="E15" t="e">
        <f>VLOOKUP(B15, 'Crash Data'!$H$3:$N$13, 5, FALSE)</f>
        <v>#N/A</v>
      </c>
      <c r="F15" t="e">
        <f t="shared" si="0"/>
        <v>#N/A</v>
      </c>
      <c r="G15" s="3" t="e">
        <f t="shared" si="1"/>
        <v>#N/A</v>
      </c>
      <c r="H15" s="3" t="e">
        <f t="shared" si="2"/>
        <v>#N/A</v>
      </c>
      <c r="I15" s="6"/>
      <c r="J15" t="e">
        <f>VLOOKUP(I15, 'Improvement Types'!$A$2:$C$61, 2, FALSE)</f>
        <v>#N/A</v>
      </c>
      <c r="K15" t="e">
        <f t="shared" si="3"/>
        <v>#N/A</v>
      </c>
      <c r="L15" t="e">
        <f>VLOOKUP(I15, 'Improvement Types'!$A$2:$C$61, 3, FALSE)</f>
        <v>#N/A</v>
      </c>
      <c r="M15" t="e">
        <f>VLOOKUP(I15, 'Improvement Types'!$A$2:$D$61, 4, FALSE)</f>
        <v>#N/A</v>
      </c>
      <c r="N15" s="6"/>
      <c r="O15" s="7" t="e">
        <f t="shared" si="4"/>
        <v>#N/A</v>
      </c>
      <c r="P15" s="1" t="e">
        <f>(G15*'Crash Costs'!$B$1*K15 + H15*'Crash Costs'!$B$2*K15)*10</f>
        <v>#N/A</v>
      </c>
      <c r="Q15" s="12" t="e">
        <f t="shared" si="5"/>
        <v>#N/A</v>
      </c>
    </row>
    <row r="16" spans="1:17" x14ac:dyDescent="0.35">
      <c r="A16" t="s">
        <v>45</v>
      </c>
      <c r="B16" s="6"/>
      <c r="C16" t="e">
        <f>VLOOKUP(B16, 'Crash Data'!H$3:N$13, 7, FALSE)</f>
        <v>#N/A</v>
      </c>
      <c r="D16" t="e">
        <f>VLOOKUP(B16, 'Crash Data'!H$3:N$13, 4, FALSE)</f>
        <v>#N/A</v>
      </c>
      <c r="E16" t="e">
        <f>VLOOKUP(B16, 'Crash Data'!$H$3:$N$13, 5, FALSE)</f>
        <v>#N/A</v>
      </c>
      <c r="F16" t="e">
        <f t="shared" si="0"/>
        <v>#N/A</v>
      </c>
      <c r="G16" s="3" t="e">
        <f t="shared" si="1"/>
        <v>#N/A</v>
      </c>
      <c r="H16" s="3" t="e">
        <f t="shared" si="2"/>
        <v>#N/A</v>
      </c>
      <c r="I16" s="6"/>
      <c r="J16" t="e">
        <f>VLOOKUP(I16, 'Improvement Types'!$A$2:$C$61, 2, FALSE)</f>
        <v>#N/A</v>
      </c>
      <c r="K16" t="e">
        <f t="shared" si="3"/>
        <v>#N/A</v>
      </c>
      <c r="L16" t="e">
        <f>VLOOKUP(I16, 'Improvement Types'!$A$2:$C$61, 3, FALSE)</f>
        <v>#N/A</v>
      </c>
      <c r="M16" t="e">
        <f>VLOOKUP(I16, 'Improvement Types'!$A$2:$D$61, 4, FALSE)</f>
        <v>#N/A</v>
      </c>
      <c r="N16" s="6"/>
      <c r="O16" s="7" t="e">
        <f t="shared" si="4"/>
        <v>#N/A</v>
      </c>
      <c r="P16" s="1" t="e">
        <f>(G16*'Crash Costs'!$B$1*K16 + H16*'Crash Costs'!$B$2*K16)*10</f>
        <v>#N/A</v>
      </c>
      <c r="Q16" s="12" t="e">
        <f t="shared" si="5"/>
        <v>#N/A</v>
      </c>
    </row>
    <row r="17" spans="1:17" x14ac:dyDescent="0.35">
      <c r="A17" t="s">
        <v>45</v>
      </c>
      <c r="B17" s="6"/>
      <c r="C17" t="e">
        <f>VLOOKUP(B17, 'Crash Data'!H$3:N$13, 7, FALSE)</f>
        <v>#N/A</v>
      </c>
      <c r="D17" t="e">
        <f>VLOOKUP(B17, 'Crash Data'!H$3:N$13, 4, FALSE)</f>
        <v>#N/A</v>
      </c>
      <c r="E17" t="e">
        <f>VLOOKUP(B17, 'Crash Data'!$H$3:$N$13, 5, FALSE)</f>
        <v>#N/A</v>
      </c>
      <c r="F17" t="e">
        <f t="shared" si="0"/>
        <v>#N/A</v>
      </c>
      <c r="G17" s="3" t="e">
        <f t="shared" si="1"/>
        <v>#N/A</v>
      </c>
      <c r="H17" s="3" t="e">
        <f t="shared" si="2"/>
        <v>#N/A</v>
      </c>
      <c r="I17" s="6"/>
      <c r="J17" t="e">
        <f>VLOOKUP(I17, 'Improvement Types'!$A$2:$C$61, 2, FALSE)</f>
        <v>#N/A</v>
      </c>
      <c r="K17" t="e">
        <f t="shared" si="3"/>
        <v>#N/A</v>
      </c>
      <c r="L17" t="e">
        <f>VLOOKUP(I17, 'Improvement Types'!$A$2:$C$61, 3, FALSE)</f>
        <v>#N/A</v>
      </c>
      <c r="M17" t="e">
        <f>VLOOKUP(I17, 'Improvement Types'!$A$2:$D$61, 4, FALSE)</f>
        <v>#N/A</v>
      </c>
      <c r="N17" s="6"/>
      <c r="O17" s="7" t="e">
        <f t="shared" si="4"/>
        <v>#N/A</v>
      </c>
      <c r="P17" s="1" t="e">
        <f>(G17*'Crash Costs'!$B$1*K17 + H17*'Crash Costs'!$B$2*K17)*10</f>
        <v>#N/A</v>
      </c>
      <c r="Q17" s="12" t="e">
        <f t="shared" si="5"/>
        <v>#N/A</v>
      </c>
    </row>
    <row r="18" spans="1:17" x14ac:dyDescent="0.35">
      <c r="A18" t="s">
        <v>45</v>
      </c>
      <c r="B18" s="6"/>
      <c r="C18" t="e">
        <f>VLOOKUP(B18, 'Crash Data'!H$3:N$13, 7, FALSE)</f>
        <v>#N/A</v>
      </c>
      <c r="D18" t="e">
        <f>VLOOKUP(B18, 'Crash Data'!H$3:N$13, 4, FALSE)</f>
        <v>#N/A</v>
      </c>
      <c r="E18" t="e">
        <f>VLOOKUP(B18, 'Crash Data'!$H$3:$N$13, 5, FALSE)</f>
        <v>#N/A</v>
      </c>
      <c r="F18" t="e">
        <f t="shared" si="0"/>
        <v>#N/A</v>
      </c>
      <c r="G18" s="3" t="e">
        <f t="shared" si="1"/>
        <v>#N/A</v>
      </c>
      <c r="H18" s="3" t="e">
        <f t="shared" si="2"/>
        <v>#N/A</v>
      </c>
      <c r="I18" s="6"/>
      <c r="J18" t="e">
        <f>VLOOKUP(I18, 'Improvement Types'!$A$2:$C$61, 2, FALSE)</f>
        <v>#N/A</v>
      </c>
      <c r="K18" t="e">
        <f t="shared" si="3"/>
        <v>#N/A</v>
      </c>
      <c r="L18" t="e">
        <f>VLOOKUP(I18, 'Improvement Types'!$A$2:$C$61, 3, FALSE)</f>
        <v>#N/A</v>
      </c>
      <c r="M18" t="e">
        <f>VLOOKUP(I18, 'Improvement Types'!$A$2:$D$61, 4, FALSE)</f>
        <v>#N/A</v>
      </c>
      <c r="N18" s="6"/>
      <c r="O18" s="7" t="e">
        <f t="shared" si="4"/>
        <v>#N/A</v>
      </c>
      <c r="P18" s="1" t="e">
        <f>(G18*'Crash Costs'!$B$1*K18 + H18*'Crash Costs'!$B$2*K18)*10</f>
        <v>#N/A</v>
      </c>
      <c r="Q18" s="12" t="e">
        <f t="shared" si="5"/>
        <v>#N/A</v>
      </c>
    </row>
    <row r="19" spans="1:17" x14ac:dyDescent="0.35">
      <c r="A19" t="s">
        <v>45</v>
      </c>
      <c r="B19" s="6"/>
      <c r="C19" t="e">
        <f>VLOOKUP(B19, 'Crash Data'!H$3:N$13, 7, FALSE)</f>
        <v>#N/A</v>
      </c>
      <c r="D19" t="e">
        <f>VLOOKUP(B19, 'Crash Data'!H$3:N$13, 4, FALSE)</f>
        <v>#N/A</v>
      </c>
      <c r="E19" t="e">
        <f>VLOOKUP(B19, 'Crash Data'!$H$3:$N$13, 5, FALSE)</f>
        <v>#N/A</v>
      </c>
      <c r="F19" t="e">
        <f t="shared" si="0"/>
        <v>#N/A</v>
      </c>
      <c r="G19" s="3" t="e">
        <f t="shared" si="1"/>
        <v>#N/A</v>
      </c>
      <c r="H19" s="3" t="e">
        <f t="shared" si="2"/>
        <v>#N/A</v>
      </c>
      <c r="I19" s="6"/>
      <c r="J19" t="e">
        <f>VLOOKUP(I19, 'Improvement Types'!$A$2:$C$61, 2, FALSE)</f>
        <v>#N/A</v>
      </c>
      <c r="K19" t="e">
        <f t="shared" si="3"/>
        <v>#N/A</v>
      </c>
      <c r="L19" t="e">
        <f>VLOOKUP(I19, 'Improvement Types'!$A$2:$C$61, 3, FALSE)</f>
        <v>#N/A</v>
      </c>
      <c r="M19" t="e">
        <f>VLOOKUP(I19, 'Improvement Types'!$A$2:$D$61, 4, FALSE)</f>
        <v>#N/A</v>
      </c>
      <c r="N19" s="6"/>
      <c r="O19" s="7" t="e">
        <f t="shared" si="4"/>
        <v>#N/A</v>
      </c>
      <c r="P19" s="1" t="e">
        <f>(G19*'Crash Costs'!$B$1*K19 + H19*'Crash Costs'!$B$2*K19)*10</f>
        <v>#N/A</v>
      </c>
      <c r="Q19" s="12" t="e">
        <f t="shared" si="5"/>
        <v>#N/A</v>
      </c>
    </row>
    <row r="20" spans="1:17" x14ac:dyDescent="0.35">
      <c r="A20" t="s">
        <v>45</v>
      </c>
      <c r="B20" s="6"/>
      <c r="C20" t="e">
        <f>VLOOKUP(B20, 'Crash Data'!H$3:N$13, 7, FALSE)</f>
        <v>#N/A</v>
      </c>
      <c r="D20" t="e">
        <f>VLOOKUP(B20, 'Crash Data'!H$3:N$13, 4, FALSE)</f>
        <v>#N/A</v>
      </c>
      <c r="E20" t="e">
        <f>VLOOKUP(B20, 'Crash Data'!$H$3:$N$13, 5, FALSE)</f>
        <v>#N/A</v>
      </c>
      <c r="F20" t="e">
        <f t="shared" si="0"/>
        <v>#N/A</v>
      </c>
      <c r="G20" s="3" t="e">
        <f t="shared" si="1"/>
        <v>#N/A</v>
      </c>
      <c r="H20" s="3" t="e">
        <f t="shared" si="2"/>
        <v>#N/A</v>
      </c>
      <c r="I20" s="6"/>
      <c r="J20" t="e">
        <f>VLOOKUP(I20, 'Improvement Types'!$A$2:$C$61, 2, FALSE)</f>
        <v>#N/A</v>
      </c>
      <c r="K20" t="e">
        <f t="shared" si="3"/>
        <v>#N/A</v>
      </c>
      <c r="L20" t="e">
        <f>VLOOKUP(I20, 'Improvement Types'!$A$2:$C$61, 3, FALSE)</f>
        <v>#N/A</v>
      </c>
      <c r="M20" t="e">
        <f>VLOOKUP(I20, 'Improvement Types'!$A$2:$D$61, 4, FALSE)</f>
        <v>#N/A</v>
      </c>
      <c r="N20" s="6"/>
      <c r="O20" s="7" t="e">
        <f t="shared" si="4"/>
        <v>#N/A</v>
      </c>
      <c r="P20" s="1" t="e">
        <f>(G20*'Crash Costs'!$B$1*K20 + H20*'Crash Costs'!$B$2*K20)*10</f>
        <v>#N/A</v>
      </c>
      <c r="Q20" s="12" t="e">
        <f t="shared" si="5"/>
        <v>#N/A</v>
      </c>
    </row>
    <row r="21" spans="1:17" x14ac:dyDescent="0.35">
      <c r="A21" t="s">
        <v>45</v>
      </c>
      <c r="B21" s="6"/>
      <c r="C21" t="e">
        <f>VLOOKUP(B21, 'Crash Data'!H$3:N$13, 7, FALSE)</f>
        <v>#N/A</v>
      </c>
      <c r="D21" t="e">
        <f>VLOOKUP(B21, 'Crash Data'!H$3:N$13, 4, FALSE)</f>
        <v>#N/A</v>
      </c>
      <c r="E21" t="e">
        <f>VLOOKUP(B21, 'Crash Data'!$H$3:$N$13, 5, FALSE)</f>
        <v>#N/A</v>
      </c>
      <c r="F21" t="e">
        <f t="shared" si="0"/>
        <v>#N/A</v>
      </c>
      <c r="G21" s="3" t="e">
        <f t="shared" si="1"/>
        <v>#N/A</v>
      </c>
      <c r="H21" s="3" t="e">
        <f t="shared" si="2"/>
        <v>#N/A</v>
      </c>
      <c r="I21" s="6"/>
      <c r="J21" t="e">
        <f>VLOOKUP(I21, 'Improvement Types'!$A$2:$C$61, 2, FALSE)</f>
        <v>#N/A</v>
      </c>
      <c r="K21" t="e">
        <f t="shared" si="3"/>
        <v>#N/A</v>
      </c>
      <c r="L21" t="e">
        <f>VLOOKUP(I21, 'Improvement Types'!$A$2:$C$61, 3, FALSE)</f>
        <v>#N/A</v>
      </c>
      <c r="M21" t="e">
        <f>VLOOKUP(I21, 'Improvement Types'!$A$2:$D$61, 4, FALSE)</f>
        <v>#N/A</v>
      </c>
      <c r="N21" s="6"/>
      <c r="O21" s="7" t="e">
        <f t="shared" si="4"/>
        <v>#N/A</v>
      </c>
      <c r="P21" s="1" t="e">
        <f>(G21*'Crash Costs'!$B$1*K21 + H21*'Crash Costs'!$B$2*K21)*10</f>
        <v>#N/A</v>
      </c>
      <c r="Q21" s="12" t="e">
        <f t="shared" si="5"/>
        <v>#N/A</v>
      </c>
    </row>
    <row r="22" spans="1:17" x14ac:dyDescent="0.35">
      <c r="A22" t="s">
        <v>45</v>
      </c>
      <c r="B22" s="6"/>
      <c r="C22" t="e">
        <f>VLOOKUP(B22, 'Crash Data'!H$3:N$13, 7, FALSE)</f>
        <v>#N/A</v>
      </c>
      <c r="D22" t="e">
        <f>VLOOKUP(B22, 'Crash Data'!H$3:N$13, 4, FALSE)</f>
        <v>#N/A</v>
      </c>
      <c r="E22" t="e">
        <f>VLOOKUP(B22, 'Crash Data'!$H$3:$N$13, 5, FALSE)</f>
        <v>#N/A</v>
      </c>
      <c r="F22" t="e">
        <f t="shared" si="0"/>
        <v>#N/A</v>
      </c>
      <c r="G22" s="3" t="e">
        <f t="shared" si="1"/>
        <v>#N/A</v>
      </c>
      <c r="H22" s="3" t="e">
        <f t="shared" si="2"/>
        <v>#N/A</v>
      </c>
      <c r="I22" s="6"/>
      <c r="J22" t="e">
        <f>VLOOKUP(I22, 'Improvement Types'!$A$2:$C$61, 2, FALSE)</f>
        <v>#N/A</v>
      </c>
      <c r="K22" t="e">
        <f t="shared" si="3"/>
        <v>#N/A</v>
      </c>
      <c r="L22" t="e">
        <f>VLOOKUP(I22, 'Improvement Types'!$A$2:$C$61, 3, FALSE)</f>
        <v>#N/A</v>
      </c>
      <c r="M22" t="e">
        <f>VLOOKUP(I22, 'Improvement Types'!$A$2:$D$61, 4, FALSE)</f>
        <v>#N/A</v>
      </c>
      <c r="N22" s="6"/>
      <c r="O22" s="7" t="e">
        <f t="shared" si="4"/>
        <v>#N/A</v>
      </c>
      <c r="P22" s="1" t="e">
        <f>(G22*'Crash Costs'!$B$1*K22 + H22*'Crash Costs'!$B$2*K22)*10</f>
        <v>#N/A</v>
      </c>
      <c r="Q22" s="12" t="e">
        <f t="shared" si="5"/>
        <v>#N/A</v>
      </c>
    </row>
    <row r="23" spans="1:17" ht="15" thickBot="1" x14ac:dyDescent="0.4"/>
    <row r="24" spans="1:17" x14ac:dyDescent="0.35">
      <c r="A24" s="17" t="s">
        <v>59</v>
      </c>
      <c r="B24" s="18"/>
      <c r="C24" s="18"/>
      <c r="D24" s="18"/>
      <c r="E24" s="19"/>
    </row>
    <row r="25" spans="1:17" x14ac:dyDescent="0.35">
      <c r="A25" s="20" t="s">
        <v>29</v>
      </c>
      <c r="B25" s="2" t="s">
        <v>36</v>
      </c>
      <c r="C25" s="2" t="s">
        <v>42</v>
      </c>
      <c r="D25" s="2" t="s">
        <v>43</v>
      </c>
      <c r="E25" s="21" t="s">
        <v>44</v>
      </c>
    </row>
    <row r="26" spans="1:17" x14ac:dyDescent="0.35">
      <c r="A26" s="22" t="str" cm="1">
        <f t="array" ref="A26:A44">B4:B22</f>
        <v>MAIN ST (Peoria)</v>
      </c>
      <c r="B26" t="str" cm="1">
        <f t="array" ref="B26:B44">I4:I22</f>
        <v>Bicycle Lanes (On Road)</v>
      </c>
      <c r="C26" s="23" cm="1">
        <f t="array" ref="C26:C44">O4:O22</f>
        <v>89000</v>
      </c>
      <c r="D26" s="24" cm="1">
        <f t="array" ref="D26:D44">P4:P22</f>
        <v>19739742.400000002</v>
      </c>
      <c r="E26" s="25" cm="1">
        <f t="array" ref="E26:E44">Q4:Q22</f>
        <v>221.79485842696633</v>
      </c>
    </row>
    <row r="27" spans="1:17" x14ac:dyDescent="0.35">
      <c r="A27" s="22" t="str">
        <v>MAIN ST (Peoria)</v>
      </c>
      <c r="B27" t="str">
        <v>Systemic Stop Applications</v>
      </c>
      <c r="C27" s="23">
        <v>62000</v>
      </c>
      <c r="D27" s="24">
        <v>3524953.9999999991</v>
      </c>
      <c r="E27" s="25">
        <v>56.854096774193536</v>
      </c>
    </row>
    <row r="28" spans="1:17" x14ac:dyDescent="0.35">
      <c r="A28" s="22" t="str">
        <v>MAIN ST (Peoria)</v>
      </c>
      <c r="B28" t="str">
        <v>Automated Enforcement</v>
      </c>
      <c r="C28" s="23">
        <v>400000</v>
      </c>
      <c r="D28" s="24">
        <v>16919779.199999999</v>
      </c>
      <c r="E28" s="25">
        <v>42.299447999999998</v>
      </c>
    </row>
    <row r="29" spans="1:17" x14ac:dyDescent="0.35">
      <c r="A29" s="22" t="str">
        <v>JEFFERSON AVE</v>
      </c>
      <c r="B29" t="str">
        <v>Curve Warning Signs</v>
      </c>
      <c r="C29" s="23">
        <v>5000</v>
      </c>
      <c r="D29" s="24">
        <v>29006239.600000001</v>
      </c>
      <c r="E29" s="25">
        <v>5801.2479200000007</v>
      </c>
    </row>
    <row r="30" spans="1:17" x14ac:dyDescent="0.35">
      <c r="A30" s="22" t="str">
        <v>BROADWAY RD</v>
      </c>
      <c r="B30" t="str">
        <v>Curve Warning Signs</v>
      </c>
      <c r="C30" s="23">
        <v>5000</v>
      </c>
      <c r="D30" s="24">
        <v>19687846.75</v>
      </c>
      <c r="E30" s="25">
        <v>3937.5693500000002</v>
      </c>
    </row>
    <row r="31" spans="1:17" x14ac:dyDescent="0.35">
      <c r="A31" s="22" t="str">
        <v>MAIN St (US24/150)</v>
      </c>
      <c r="B31" t="str">
        <v>Crosswalk Enhancements</v>
      </c>
      <c r="C31" s="23">
        <v>50000</v>
      </c>
      <c r="D31" s="24">
        <v>21443989.800000001</v>
      </c>
      <c r="E31" s="25">
        <v>428.879796</v>
      </c>
    </row>
    <row r="32" spans="1:17" x14ac:dyDescent="0.35">
      <c r="A32" s="22" t="str">
        <v>MAIN St (US24/150)</v>
      </c>
      <c r="B32" t="str">
        <v>Bicycle Lanes (cycle track)</v>
      </c>
      <c r="C32" s="23">
        <v>216000</v>
      </c>
      <c r="D32" s="24">
        <v>26804987.249999996</v>
      </c>
      <c r="E32" s="25">
        <v>124.09716319444443</v>
      </c>
    </row>
    <row r="33" spans="1:5" x14ac:dyDescent="0.35">
      <c r="A33" s="22" t="str">
        <v>ADAMS ST</v>
      </c>
      <c r="B33">
        <v>0</v>
      </c>
      <c r="C33" s="23" t="e">
        <v>#N/A</v>
      </c>
      <c r="D33" s="24" t="e">
        <v>#N/A</v>
      </c>
      <c r="E33" s="25" t="e">
        <v>#N/A</v>
      </c>
    </row>
    <row r="34" spans="1:5" x14ac:dyDescent="0.35">
      <c r="A34" s="22" t="str">
        <v>SHERIDAN RD</v>
      </c>
      <c r="B34">
        <v>0</v>
      </c>
      <c r="C34" s="23" t="e">
        <v>#N/A</v>
      </c>
      <c r="D34" s="24" t="e">
        <v>#N/A</v>
      </c>
      <c r="E34" s="25" t="e">
        <v>#N/A</v>
      </c>
    </row>
    <row r="35" spans="1:5" x14ac:dyDescent="0.35">
      <c r="A35" s="22" t="str">
        <v>STERLING AVE</v>
      </c>
      <c r="B35">
        <v>0</v>
      </c>
      <c r="C35" s="23" t="e">
        <v>#N/A</v>
      </c>
      <c r="D35" s="24" t="e">
        <v>#N/A</v>
      </c>
      <c r="E35" s="25" t="e">
        <v>#N/A</v>
      </c>
    </row>
    <row r="36" spans="1:5" x14ac:dyDescent="0.35">
      <c r="A36" s="22">
        <v>0</v>
      </c>
      <c r="B36">
        <v>0</v>
      </c>
      <c r="C36" s="23" t="e">
        <v>#N/A</v>
      </c>
      <c r="D36" s="24" t="e">
        <v>#N/A</v>
      </c>
      <c r="E36" s="25" t="e">
        <v>#N/A</v>
      </c>
    </row>
    <row r="37" spans="1:5" x14ac:dyDescent="0.35">
      <c r="A37" s="22">
        <v>0</v>
      </c>
      <c r="B37">
        <v>0</v>
      </c>
      <c r="C37" s="23" t="e">
        <v>#N/A</v>
      </c>
      <c r="D37" s="24" t="e">
        <v>#N/A</v>
      </c>
      <c r="E37" s="25" t="e">
        <v>#N/A</v>
      </c>
    </row>
    <row r="38" spans="1:5" x14ac:dyDescent="0.35">
      <c r="A38" s="22">
        <v>0</v>
      </c>
      <c r="B38">
        <v>0</v>
      </c>
      <c r="C38" s="23" t="e">
        <v>#N/A</v>
      </c>
      <c r="D38" s="24" t="e">
        <v>#N/A</v>
      </c>
      <c r="E38" s="25" t="e">
        <v>#N/A</v>
      </c>
    </row>
    <row r="39" spans="1:5" x14ac:dyDescent="0.35">
      <c r="A39" s="22">
        <v>0</v>
      </c>
      <c r="B39">
        <v>0</v>
      </c>
      <c r="C39" s="23" t="e">
        <v>#N/A</v>
      </c>
      <c r="D39" s="24" t="e">
        <v>#N/A</v>
      </c>
      <c r="E39" s="25" t="e">
        <v>#N/A</v>
      </c>
    </row>
    <row r="40" spans="1:5" x14ac:dyDescent="0.35">
      <c r="A40" s="22">
        <v>0</v>
      </c>
      <c r="B40">
        <v>0</v>
      </c>
      <c r="C40" s="23" t="e">
        <v>#N/A</v>
      </c>
      <c r="D40" s="24" t="e">
        <v>#N/A</v>
      </c>
      <c r="E40" s="25" t="e">
        <v>#N/A</v>
      </c>
    </row>
    <row r="41" spans="1:5" x14ac:dyDescent="0.35">
      <c r="A41" s="22">
        <v>0</v>
      </c>
      <c r="B41">
        <v>0</v>
      </c>
      <c r="C41" s="23" t="e">
        <v>#N/A</v>
      </c>
      <c r="D41" s="24" t="e">
        <v>#N/A</v>
      </c>
      <c r="E41" s="25" t="e">
        <v>#N/A</v>
      </c>
    </row>
    <row r="42" spans="1:5" x14ac:dyDescent="0.35">
      <c r="A42" s="22">
        <v>0</v>
      </c>
      <c r="B42">
        <v>0</v>
      </c>
      <c r="C42" s="23" t="e">
        <v>#N/A</v>
      </c>
      <c r="D42" s="24" t="e">
        <v>#N/A</v>
      </c>
      <c r="E42" s="25" t="e">
        <v>#N/A</v>
      </c>
    </row>
    <row r="43" spans="1:5" x14ac:dyDescent="0.35">
      <c r="A43" s="22">
        <v>0</v>
      </c>
      <c r="B43">
        <v>0</v>
      </c>
      <c r="C43" s="23" t="e">
        <v>#N/A</v>
      </c>
      <c r="D43" s="24" t="e">
        <v>#N/A</v>
      </c>
      <c r="E43" s="25" t="e">
        <v>#N/A</v>
      </c>
    </row>
    <row r="44" spans="1:5" ht="15" thickBot="1" x14ac:dyDescent="0.4">
      <c r="A44" s="26">
        <v>0</v>
      </c>
      <c r="B44" s="27">
        <v>0</v>
      </c>
      <c r="C44" s="28" t="e">
        <v>#N/A</v>
      </c>
      <c r="D44" s="29" t="e">
        <v>#N/A</v>
      </c>
      <c r="E44" s="30" t="e">
        <v>#N/A</v>
      </c>
    </row>
  </sheetData>
  <mergeCells count="2">
    <mergeCell ref="A1:B1"/>
    <mergeCell ref="A2:B2"/>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596501EE-602E-443B-AAD9-3EE7AA3687D1}">
          <x14:formula1>
            <xm:f>'Crash Data'!$H$4:$H$13</xm:f>
          </x14:formula1>
          <xm:sqref>B4:B22</xm:sqref>
        </x14:dataValidation>
        <x14:dataValidation type="list" allowBlank="1" showInputMessage="1" showErrorMessage="1" xr:uid="{EE9C0A4C-BB9F-40F0-B43C-B840C36EE275}">
          <x14:formula1>
            <xm:f>'Improvement Types'!$A$2:$A$30</xm:f>
          </x14:formula1>
          <xm:sqref>I4:I22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A3F56-6904-428D-BE75-A2E432D71F13}">
  <dimension ref="A1:Q44"/>
  <sheetViews>
    <sheetView topLeftCell="A19" workbookViewId="0">
      <selection activeCell="A24" sqref="A24:E44"/>
    </sheetView>
  </sheetViews>
  <sheetFormatPr defaultRowHeight="14.5" x14ac:dyDescent="0.35"/>
  <cols>
    <col min="1" max="3" width="17.81640625" bestFit="1" customWidth="1"/>
    <col min="4" max="4" width="22.7265625" bestFit="1" customWidth="1"/>
    <col min="9" max="10" width="13.26953125" bestFit="1" customWidth="1"/>
    <col min="13" max="13" width="14.81640625" bestFit="1" customWidth="1"/>
    <col min="15" max="15" width="12.7265625" bestFit="1" customWidth="1"/>
    <col min="16" max="16" width="15.54296875" bestFit="1" customWidth="1"/>
    <col min="17" max="17" width="14.81640625" bestFit="1" customWidth="1"/>
  </cols>
  <sheetData>
    <row r="1" spans="1:17" x14ac:dyDescent="0.35">
      <c r="A1" s="39" t="s">
        <v>60</v>
      </c>
      <c r="B1" s="39"/>
    </row>
    <row r="2" spans="1:17" x14ac:dyDescent="0.35">
      <c r="A2" s="40" t="s">
        <v>27</v>
      </c>
      <c r="B2" s="40"/>
      <c r="D2" s="5"/>
    </row>
    <row r="3" spans="1:17" x14ac:dyDescent="0.35">
      <c r="A3" s="2" t="s">
        <v>28</v>
      </c>
      <c r="B3" s="2" t="s">
        <v>29</v>
      </c>
      <c r="C3" s="2" t="s">
        <v>30</v>
      </c>
      <c r="D3" s="2" t="s">
        <v>31</v>
      </c>
      <c r="E3" s="2" t="s">
        <v>32</v>
      </c>
      <c r="F3" s="2" t="s">
        <v>33</v>
      </c>
      <c r="G3" s="2" t="s">
        <v>34</v>
      </c>
      <c r="H3" s="2" t="s">
        <v>35</v>
      </c>
      <c r="I3" s="2" t="s">
        <v>36</v>
      </c>
      <c r="J3" s="2" t="s">
        <v>37</v>
      </c>
      <c r="K3" s="2" t="s">
        <v>38</v>
      </c>
      <c r="L3" s="2" t="s">
        <v>39</v>
      </c>
      <c r="M3" s="2" t="s">
        <v>40</v>
      </c>
      <c r="N3" s="2" t="s">
        <v>41</v>
      </c>
      <c r="O3" s="2" t="s">
        <v>42</v>
      </c>
      <c r="P3" s="2" t="s">
        <v>43</v>
      </c>
      <c r="Q3" s="2" t="s">
        <v>44</v>
      </c>
    </row>
    <row r="4" spans="1:17" x14ac:dyDescent="0.35">
      <c r="A4" t="s">
        <v>61</v>
      </c>
      <c r="B4" s="6" t="s">
        <v>62</v>
      </c>
      <c r="C4" s="3">
        <f>VLOOKUP(B4, 'Crash Data'!$H$33:$N$45, 7, FALSE)</f>
        <v>1.9836199016751497</v>
      </c>
      <c r="D4">
        <f>VLOOKUP(B4, 'Crash Data'!$H$33:$N$45, 4, FALSE)</f>
        <v>29</v>
      </c>
      <c r="E4">
        <f>VLOOKUP(B4, 'Crash Data'!$H$33:$N$45, 5, FALSE)</f>
        <v>1</v>
      </c>
      <c r="F4">
        <f>D4-E4</f>
        <v>28</v>
      </c>
      <c r="G4" s="3">
        <f>E4/6</f>
        <v>0.16666666666666666</v>
      </c>
      <c r="H4" s="3">
        <f>F4/6</f>
        <v>4.666666666666667</v>
      </c>
      <c r="I4" s="6" t="s">
        <v>63</v>
      </c>
      <c r="J4">
        <f>VLOOKUP(I4, 'Improvement Types'!$A$2:$C$61, 2, FALSE)</f>
        <v>0.52</v>
      </c>
      <c r="K4">
        <f>1- J4</f>
        <v>0.48</v>
      </c>
      <c r="L4">
        <f>VLOOKUP(I4, 'Improvement Types'!$A$2:$C$61, 3, FALSE)</f>
        <v>1500000</v>
      </c>
      <c r="M4" t="str">
        <f>VLOOKUP(I4, 'Improvement Types'!$A$2:$D$61, 4, FALSE)</f>
        <v>Per implementation</v>
      </c>
      <c r="N4" s="6">
        <v>1</v>
      </c>
      <c r="O4" s="9">
        <f>N4*L4</f>
        <v>1500000</v>
      </c>
      <c r="P4" s="1">
        <f>(G4*'Crash Costs'!$B$1*K4 + H4*'Crash Costs'!$B$2*K4)*10</f>
        <v>16919779.199999999</v>
      </c>
      <c r="Q4">
        <f>P4/O4</f>
        <v>11.279852799999999</v>
      </c>
    </row>
    <row r="5" spans="1:17" x14ac:dyDescent="0.35">
      <c r="A5" t="s">
        <v>61</v>
      </c>
      <c r="B5" s="6" t="s">
        <v>64</v>
      </c>
      <c r="C5" s="3">
        <f>VLOOKUP(B5, 'Crash Data'!$H$33:$N$45, 7, FALSE)</f>
        <v>1.9688578560031498</v>
      </c>
      <c r="D5">
        <f>VLOOKUP(B5, 'Crash Data'!$H$33:$N$45, 4, FALSE)</f>
        <v>49</v>
      </c>
      <c r="E5">
        <f>VLOOKUP(B5, 'Crash Data'!$H$33:$N$45, 5, FALSE)</f>
        <v>5</v>
      </c>
      <c r="F5">
        <f t="shared" ref="F5:F22" si="0">D5-E5</f>
        <v>44</v>
      </c>
      <c r="G5" s="3">
        <f t="shared" ref="G5:G22" si="1">E5/6</f>
        <v>0.83333333333333337</v>
      </c>
      <c r="H5" s="3">
        <f t="shared" ref="H5:H22" si="2">F5/6</f>
        <v>7.333333333333333</v>
      </c>
      <c r="I5" s="6"/>
      <c r="J5" t="e">
        <f>VLOOKUP(I5, 'Improvement Types'!$A$2:$C$61, 2, FALSE)</f>
        <v>#N/A</v>
      </c>
      <c r="K5" t="e">
        <f t="shared" ref="K5:K22" si="3">1- J5</f>
        <v>#N/A</v>
      </c>
      <c r="L5" t="e">
        <f>VLOOKUP(I5, 'Improvement Types'!$A$2:$C$61, 3, FALSE)</f>
        <v>#N/A</v>
      </c>
      <c r="M5" t="e">
        <f>VLOOKUP(I5, 'Improvement Types'!$A$2:$D$61, 4, FALSE)</f>
        <v>#N/A</v>
      </c>
      <c r="N5" s="6"/>
      <c r="O5" s="9" t="e">
        <f t="shared" ref="O5:O22" si="4">N5*L5</f>
        <v>#N/A</v>
      </c>
      <c r="P5" s="1" t="e">
        <f>(G5*'Crash Costs'!$B$1*K5 + H5*'Crash Costs'!$B$2*K5)*10</f>
        <v>#N/A</v>
      </c>
      <c r="Q5" t="e">
        <f t="shared" ref="Q5:Q22" si="5">P5/O5</f>
        <v>#N/A</v>
      </c>
    </row>
    <row r="6" spans="1:17" x14ac:dyDescent="0.35">
      <c r="A6" t="s">
        <v>61</v>
      </c>
      <c r="B6" s="6" t="s">
        <v>50</v>
      </c>
      <c r="C6" s="3">
        <f>VLOOKUP(B6, 'Crash Data'!$H$33:$N$45, 7, FALSE)</f>
        <v>2.9243160239761457</v>
      </c>
      <c r="D6">
        <f>VLOOKUP(B6, 'Crash Data'!$H$33:$N$45, 4, FALSE)</f>
        <v>28</v>
      </c>
      <c r="E6">
        <f>VLOOKUP(B6, 'Crash Data'!$H$33:$N$45, 5, FALSE)</f>
        <v>4</v>
      </c>
      <c r="F6">
        <f t="shared" si="0"/>
        <v>24</v>
      </c>
      <c r="G6" s="3">
        <f t="shared" si="1"/>
        <v>0.66666666666666663</v>
      </c>
      <c r="H6" s="3">
        <f t="shared" si="2"/>
        <v>4</v>
      </c>
      <c r="I6" s="6"/>
      <c r="J6" t="e">
        <f>VLOOKUP(I6, 'Improvement Types'!$A$2:$C$61, 2, FALSE)</f>
        <v>#N/A</v>
      </c>
      <c r="K6" t="e">
        <f t="shared" si="3"/>
        <v>#N/A</v>
      </c>
      <c r="L6" t="e">
        <f>VLOOKUP(I6, 'Improvement Types'!$A$2:$C$61, 3, FALSE)</f>
        <v>#N/A</v>
      </c>
      <c r="M6" t="e">
        <f>VLOOKUP(I6, 'Improvement Types'!$A$2:$D$61, 4, FALSE)</f>
        <v>#N/A</v>
      </c>
      <c r="N6" s="6"/>
      <c r="O6" s="9" t="e">
        <f t="shared" si="4"/>
        <v>#N/A</v>
      </c>
      <c r="P6" s="1" t="e">
        <f>(G6*'Crash Costs'!$B$1*K6 + H6*'Crash Costs'!$B$2*K6)*10</f>
        <v>#N/A</v>
      </c>
      <c r="Q6" t="e">
        <f t="shared" si="5"/>
        <v>#N/A</v>
      </c>
    </row>
    <row r="7" spans="1:17" x14ac:dyDescent="0.35">
      <c r="A7" t="s">
        <v>61</v>
      </c>
      <c r="B7" s="6" t="s">
        <v>56</v>
      </c>
      <c r="C7" s="3">
        <f>VLOOKUP(B7, 'Crash Data'!$H$33:$N$45, 7, FALSE)</f>
        <v>2.9303573727411854</v>
      </c>
      <c r="D7">
        <f>VLOOKUP(B7, 'Crash Data'!$H$33:$N$45, 4, FALSE)</f>
        <v>23</v>
      </c>
      <c r="E7">
        <f>VLOOKUP(B7, 'Crash Data'!$H$33:$N$45, 5, FALSE)</f>
        <v>1</v>
      </c>
      <c r="F7">
        <f t="shared" si="0"/>
        <v>22</v>
      </c>
      <c r="G7" s="3">
        <f t="shared" si="1"/>
        <v>0.16666666666666666</v>
      </c>
      <c r="H7" s="3">
        <f t="shared" si="2"/>
        <v>3.6666666666666665</v>
      </c>
      <c r="I7" s="6"/>
      <c r="J7" t="e">
        <f>VLOOKUP(I7, 'Improvement Types'!$A$2:$C$61, 2, FALSE)</f>
        <v>#N/A</v>
      </c>
      <c r="K7" t="e">
        <f t="shared" si="3"/>
        <v>#N/A</v>
      </c>
      <c r="L7" t="e">
        <f>VLOOKUP(I7, 'Improvement Types'!$A$2:$C$61, 3, FALSE)</f>
        <v>#N/A</v>
      </c>
      <c r="M7" t="e">
        <f>VLOOKUP(I7, 'Improvement Types'!$A$2:$D$61, 4, FALSE)</f>
        <v>#N/A</v>
      </c>
      <c r="N7" s="6"/>
      <c r="O7" s="9" t="e">
        <f t="shared" si="4"/>
        <v>#N/A</v>
      </c>
      <c r="P7" s="1" t="e">
        <f>(G7*'Crash Costs'!$B$1*K7 + H7*'Crash Costs'!$B$2*K7)*10</f>
        <v>#N/A</v>
      </c>
      <c r="Q7" t="e">
        <f t="shared" si="5"/>
        <v>#N/A</v>
      </c>
    </row>
    <row r="8" spans="1:17" x14ac:dyDescent="0.35">
      <c r="A8" t="s">
        <v>61</v>
      </c>
      <c r="B8" s="6" t="s">
        <v>57</v>
      </c>
      <c r="C8" s="3">
        <f>VLOOKUP(B8, 'Crash Data'!$H$33:$N$45, 7, FALSE)</f>
        <v>1.2508194122658394</v>
      </c>
      <c r="D8">
        <f>VLOOKUP(B8, 'Crash Data'!$H$33:$N$45, 4, FALSE)</f>
        <v>11</v>
      </c>
      <c r="E8">
        <f>VLOOKUP(B8, 'Crash Data'!$H$33:$N$45, 5, FALSE)</f>
        <v>1</v>
      </c>
      <c r="F8">
        <f t="shared" si="0"/>
        <v>10</v>
      </c>
      <c r="G8" s="3">
        <f t="shared" si="1"/>
        <v>0.16666666666666666</v>
      </c>
      <c r="H8" s="3">
        <f t="shared" si="2"/>
        <v>1.6666666666666667</v>
      </c>
      <c r="I8" s="6"/>
      <c r="J8" t="e">
        <f>VLOOKUP(I8, 'Improvement Types'!$A$2:$C$61, 2, FALSE)</f>
        <v>#N/A</v>
      </c>
      <c r="K8" t="e">
        <f t="shared" si="3"/>
        <v>#N/A</v>
      </c>
      <c r="L8" t="e">
        <f>VLOOKUP(I8, 'Improvement Types'!$A$2:$C$61, 3, FALSE)</f>
        <v>#N/A</v>
      </c>
      <c r="M8" t="e">
        <f>VLOOKUP(I8, 'Improvement Types'!$A$2:$D$61, 4, FALSE)</f>
        <v>#N/A</v>
      </c>
      <c r="N8" s="6"/>
      <c r="O8" s="9" t="e">
        <f t="shared" si="4"/>
        <v>#N/A</v>
      </c>
      <c r="P8" s="1" t="e">
        <f>(G8*'Crash Costs'!$B$1*K8 + H8*'Crash Costs'!$B$2*K8)*10</f>
        <v>#N/A</v>
      </c>
      <c r="Q8" t="e">
        <f t="shared" si="5"/>
        <v>#N/A</v>
      </c>
    </row>
    <row r="9" spans="1:17" x14ac:dyDescent="0.35">
      <c r="A9" t="s">
        <v>61</v>
      </c>
      <c r="B9" s="6" t="s">
        <v>65</v>
      </c>
      <c r="C9" s="3">
        <f>VLOOKUP(B9, 'Crash Data'!$H$33:$N$45, 7, FALSE)</f>
        <v>1.2879339231550313</v>
      </c>
      <c r="D9">
        <f>VLOOKUP(B9, 'Crash Data'!$H$33:$N$45, 4, FALSE)</f>
        <v>22</v>
      </c>
      <c r="E9">
        <f>VLOOKUP(B9, 'Crash Data'!$H$33:$N$45, 5, FALSE)</f>
        <v>4</v>
      </c>
      <c r="F9">
        <f t="shared" si="0"/>
        <v>18</v>
      </c>
      <c r="G9" s="3">
        <f t="shared" si="1"/>
        <v>0.66666666666666663</v>
      </c>
      <c r="H9" s="3">
        <f t="shared" si="2"/>
        <v>3</v>
      </c>
      <c r="I9" s="6"/>
      <c r="J9" t="e">
        <f>VLOOKUP(I9, 'Improvement Types'!$A$2:$C$61, 2, FALSE)</f>
        <v>#N/A</v>
      </c>
      <c r="K9" t="e">
        <f t="shared" si="3"/>
        <v>#N/A</v>
      </c>
      <c r="L9" t="e">
        <f>VLOOKUP(I9, 'Improvement Types'!$A$2:$C$61, 3, FALSE)</f>
        <v>#N/A</v>
      </c>
      <c r="M9" t="e">
        <f>VLOOKUP(I9, 'Improvement Types'!$A$2:$D$61, 4, FALSE)</f>
        <v>#N/A</v>
      </c>
      <c r="N9" s="6"/>
      <c r="O9" s="9" t="e">
        <f t="shared" si="4"/>
        <v>#N/A</v>
      </c>
      <c r="P9" s="1" t="e">
        <f>(G9*'Crash Costs'!$B$1*K9 + H9*'Crash Costs'!$B$2*K9)*10</f>
        <v>#N/A</v>
      </c>
      <c r="Q9" t="e">
        <f t="shared" si="5"/>
        <v>#N/A</v>
      </c>
    </row>
    <row r="10" spans="1:17" x14ac:dyDescent="0.35">
      <c r="A10" t="s">
        <v>61</v>
      </c>
      <c r="B10" s="6" t="s">
        <v>58</v>
      </c>
      <c r="C10" s="3">
        <f>VLOOKUP(B10, 'Crash Data'!$H$33:$N$45, 7, FALSE)</f>
        <v>2.9695842953245246</v>
      </c>
      <c r="D10">
        <f>VLOOKUP(B10, 'Crash Data'!$H$33:$N$45, 4, FALSE)</f>
        <v>30</v>
      </c>
      <c r="E10">
        <f>VLOOKUP(B10, 'Crash Data'!$H$33:$N$45, 5, FALSE)</f>
        <v>3</v>
      </c>
      <c r="F10">
        <f t="shared" si="0"/>
        <v>27</v>
      </c>
      <c r="G10" s="3">
        <f t="shared" si="1"/>
        <v>0.5</v>
      </c>
      <c r="H10" s="3">
        <f t="shared" si="2"/>
        <v>4.5</v>
      </c>
      <c r="I10" s="6"/>
      <c r="J10" t="e">
        <f>VLOOKUP(I10, 'Improvement Types'!$A$2:$C$61, 2, FALSE)</f>
        <v>#N/A</v>
      </c>
      <c r="K10" t="e">
        <f t="shared" si="3"/>
        <v>#N/A</v>
      </c>
      <c r="L10" t="e">
        <f>VLOOKUP(I10, 'Improvement Types'!$A$2:$C$61, 3, FALSE)</f>
        <v>#N/A</v>
      </c>
      <c r="M10" t="e">
        <f>VLOOKUP(I10, 'Improvement Types'!$A$2:$D$61, 4, FALSE)</f>
        <v>#N/A</v>
      </c>
      <c r="N10" s="6"/>
      <c r="O10" s="9" t="e">
        <f t="shared" si="4"/>
        <v>#N/A</v>
      </c>
      <c r="P10" s="1" t="e">
        <f>(G10*'Crash Costs'!$B$1*K10 + H10*'Crash Costs'!$B$2*K10)*10</f>
        <v>#N/A</v>
      </c>
      <c r="Q10" t="e">
        <f t="shared" si="5"/>
        <v>#N/A</v>
      </c>
    </row>
    <row r="11" spans="1:17" x14ac:dyDescent="0.35">
      <c r="A11" t="s">
        <v>61</v>
      </c>
      <c r="B11" s="6" t="s">
        <v>66</v>
      </c>
      <c r="C11" s="3">
        <f>VLOOKUP(B11, 'Crash Data'!$H$33:$N$45, 7, FALSE)</f>
        <v>1.5132018601535739</v>
      </c>
      <c r="D11">
        <f>VLOOKUP(B11, 'Crash Data'!$H$33:$N$45, 4, FALSE)</f>
        <v>13</v>
      </c>
      <c r="E11">
        <f>VLOOKUP(B11, 'Crash Data'!$H$33:$N$45, 5, FALSE)</f>
        <v>1</v>
      </c>
      <c r="F11">
        <f t="shared" si="0"/>
        <v>12</v>
      </c>
      <c r="G11" s="3">
        <f t="shared" si="1"/>
        <v>0.16666666666666666</v>
      </c>
      <c r="H11" s="3">
        <f t="shared" si="2"/>
        <v>2</v>
      </c>
      <c r="I11" s="6"/>
      <c r="J11" t="e">
        <f>VLOOKUP(I11, 'Improvement Types'!$A$2:$C$61, 2, FALSE)</f>
        <v>#N/A</v>
      </c>
      <c r="K11" t="e">
        <f t="shared" si="3"/>
        <v>#N/A</v>
      </c>
      <c r="L11" t="e">
        <f>VLOOKUP(I11, 'Improvement Types'!$A$2:$C$61, 3, FALSE)</f>
        <v>#N/A</v>
      </c>
      <c r="M11" t="e">
        <f>VLOOKUP(I11, 'Improvement Types'!$A$2:$D$61, 4, FALSE)</f>
        <v>#N/A</v>
      </c>
      <c r="N11" s="6"/>
      <c r="O11" s="9" t="e">
        <f t="shared" si="4"/>
        <v>#N/A</v>
      </c>
      <c r="P11" s="1" t="e">
        <f>(G11*'Crash Costs'!$B$1*K11 + H11*'Crash Costs'!$B$2*K11)*10</f>
        <v>#N/A</v>
      </c>
      <c r="Q11" t="e">
        <f t="shared" si="5"/>
        <v>#N/A</v>
      </c>
    </row>
    <row r="12" spans="1:17" x14ac:dyDescent="0.35">
      <c r="A12" t="s">
        <v>61</v>
      </c>
      <c r="B12" s="6" t="s">
        <v>67</v>
      </c>
      <c r="C12" s="3">
        <f>VLOOKUP(B12, 'Crash Data'!$H$33:$N$45, 7, FALSE)</f>
        <v>1.1237569710348625</v>
      </c>
      <c r="D12">
        <f>VLOOKUP(B12, 'Crash Data'!$H$33:$N$45, 4, FALSE)</f>
        <v>15</v>
      </c>
      <c r="E12">
        <f>VLOOKUP(B12, 'Crash Data'!$H$33:$N$45, 5, FALSE)</f>
        <v>2</v>
      </c>
      <c r="F12">
        <f t="shared" si="0"/>
        <v>13</v>
      </c>
      <c r="G12" s="3">
        <f t="shared" si="1"/>
        <v>0.33333333333333331</v>
      </c>
      <c r="H12" s="3">
        <f t="shared" si="2"/>
        <v>2.1666666666666665</v>
      </c>
      <c r="I12" s="6"/>
      <c r="J12" t="e">
        <f>VLOOKUP(I12, 'Improvement Types'!$A$2:$C$61, 2, FALSE)</f>
        <v>#N/A</v>
      </c>
      <c r="K12" t="e">
        <f t="shared" si="3"/>
        <v>#N/A</v>
      </c>
      <c r="L12" t="e">
        <f>VLOOKUP(I12, 'Improvement Types'!$A$2:$C$61, 3, FALSE)</f>
        <v>#N/A</v>
      </c>
      <c r="M12" t="e">
        <f>VLOOKUP(I12, 'Improvement Types'!$A$2:$D$61, 4, FALSE)</f>
        <v>#N/A</v>
      </c>
      <c r="N12" s="6"/>
      <c r="O12" s="9" t="e">
        <f t="shared" si="4"/>
        <v>#N/A</v>
      </c>
      <c r="P12" s="1" t="e">
        <f>(G12*'Crash Costs'!$B$1*K12 + H12*'Crash Costs'!$B$2*K12)*10</f>
        <v>#N/A</v>
      </c>
      <c r="Q12" t="e">
        <f t="shared" si="5"/>
        <v>#N/A</v>
      </c>
    </row>
    <row r="13" spans="1:17" x14ac:dyDescent="0.35">
      <c r="A13" t="s">
        <v>61</v>
      </c>
      <c r="B13" s="6" t="s">
        <v>68</v>
      </c>
      <c r="C13" s="3">
        <f>VLOOKUP(B13, 'Crash Data'!$H$33:$N$45, 7, FALSE)</f>
        <v>0.31969219650510722</v>
      </c>
      <c r="D13">
        <f>VLOOKUP(B13, 'Crash Data'!$H$33:$N$45, 4, FALSE)</f>
        <v>3</v>
      </c>
      <c r="E13">
        <f>VLOOKUP(B13, 'Crash Data'!$H$33:$N$45, 5, FALSE)</f>
        <v>1</v>
      </c>
      <c r="F13">
        <f t="shared" si="0"/>
        <v>2</v>
      </c>
      <c r="G13" s="3">
        <f t="shared" si="1"/>
        <v>0.16666666666666666</v>
      </c>
      <c r="H13" s="3">
        <f t="shared" si="2"/>
        <v>0.33333333333333331</v>
      </c>
      <c r="I13" s="6"/>
      <c r="J13" t="e">
        <f>VLOOKUP(I13, 'Improvement Types'!$A$2:$C$61, 2, FALSE)</f>
        <v>#N/A</v>
      </c>
      <c r="K13" t="e">
        <f t="shared" si="3"/>
        <v>#N/A</v>
      </c>
      <c r="L13" t="e">
        <f>VLOOKUP(I13, 'Improvement Types'!$A$2:$C$61, 3, FALSE)</f>
        <v>#N/A</v>
      </c>
      <c r="M13" t="e">
        <f>VLOOKUP(I13, 'Improvement Types'!$A$2:$D$61, 4, FALSE)</f>
        <v>#N/A</v>
      </c>
      <c r="N13" s="6"/>
      <c r="O13" s="9" t="e">
        <f t="shared" si="4"/>
        <v>#N/A</v>
      </c>
      <c r="P13" s="1" t="e">
        <f>(G13*'Crash Costs'!$B$1*K13 + H13*'Crash Costs'!$B$2*K13)*10</f>
        <v>#N/A</v>
      </c>
      <c r="Q13" t="e">
        <f t="shared" si="5"/>
        <v>#N/A</v>
      </c>
    </row>
    <row r="14" spans="1:17" x14ac:dyDescent="0.35">
      <c r="A14" t="s">
        <v>61</v>
      </c>
      <c r="B14" s="6" t="s">
        <v>69</v>
      </c>
      <c r="C14" s="3">
        <f>VLOOKUP(B14, 'Crash Data'!$H$33:$N$45, 7, FALSE)</f>
        <v>0.26474219714213504</v>
      </c>
      <c r="D14">
        <f>VLOOKUP(B14, 'Crash Data'!$H$33:$N$45, 4, FALSE)</f>
        <v>2</v>
      </c>
      <c r="E14">
        <f>VLOOKUP(B14, 'Crash Data'!$H$33:$N$45, 5, FALSE)</f>
        <v>0</v>
      </c>
      <c r="F14">
        <f t="shared" si="0"/>
        <v>2</v>
      </c>
      <c r="G14" s="3">
        <f t="shared" si="1"/>
        <v>0</v>
      </c>
      <c r="H14" s="3">
        <f t="shared" si="2"/>
        <v>0.33333333333333331</v>
      </c>
      <c r="I14" s="6"/>
      <c r="J14" t="e">
        <f>VLOOKUP(I14, 'Improvement Types'!$A$2:$C$61, 2, FALSE)</f>
        <v>#N/A</v>
      </c>
      <c r="K14" t="e">
        <f t="shared" si="3"/>
        <v>#N/A</v>
      </c>
      <c r="L14" t="e">
        <f>VLOOKUP(I14, 'Improvement Types'!$A$2:$C$61, 3, FALSE)</f>
        <v>#N/A</v>
      </c>
      <c r="M14" t="e">
        <f>VLOOKUP(I14, 'Improvement Types'!$A$2:$D$61, 4, FALSE)</f>
        <v>#N/A</v>
      </c>
      <c r="N14" s="6"/>
      <c r="O14" s="9" t="e">
        <f t="shared" si="4"/>
        <v>#N/A</v>
      </c>
      <c r="P14" s="1" t="e">
        <f>(G14*'Crash Costs'!$B$1*K14 + H14*'Crash Costs'!$B$2*K14)*10</f>
        <v>#N/A</v>
      </c>
      <c r="Q14" t="e">
        <f t="shared" si="5"/>
        <v>#N/A</v>
      </c>
    </row>
    <row r="15" spans="1:17" x14ac:dyDescent="0.35">
      <c r="A15" t="s">
        <v>61</v>
      </c>
      <c r="B15" s="6" t="s">
        <v>70</v>
      </c>
      <c r="C15" s="3">
        <f>VLOOKUP(B15, 'Crash Data'!$H$33:$N$45, 7, FALSE)</f>
        <v>0.24978455921645415</v>
      </c>
      <c r="D15">
        <f>VLOOKUP(B15, 'Crash Data'!$H$33:$N$45, 4, FALSE)</f>
        <v>5</v>
      </c>
      <c r="E15">
        <f>VLOOKUP(B15, 'Crash Data'!$H$33:$N$45, 5, FALSE)</f>
        <v>1</v>
      </c>
      <c r="F15">
        <f t="shared" si="0"/>
        <v>4</v>
      </c>
      <c r="G15" s="3">
        <f t="shared" si="1"/>
        <v>0.16666666666666666</v>
      </c>
      <c r="H15" s="3">
        <f t="shared" si="2"/>
        <v>0.66666666666666663</v>
      </c>
      <c r="I15" s="6"/>
      <c r="J15" t="e">
        <f>VLOOKUP(I15, 'Improvement Types'!$A$2:$C$61, 2, FALSE)</f>
        <v>#N/A</v>
      </c>
      <c r="K15" t="e">
        <f t="shared" si="3"/>
        <v>#N/A</v>
      </c>
      <c r="L15" t="e">
        <f>VLOOKUP(I15, 'Improvement Types'!$A$2:$C$61, 3, FALSE)</f>
        <v>#N/A</v>
      </c>
      <c r="M15" t="e">
        <f>VLOOKUP(I15, 'Improvement Types'!$A$2:$D$61, 4, FALSE)</f>
        <v>#N/A</v>
      </c>
      <c r="N15" s="6"/>
      <c r="O15" s="9" t="e">
        <f t="shared" si="4"/>
        <v>#N/A</v>
      </c>
      <c r="P15" s="1" t="e">
        <f>(G15*'Crash Costs'!$B$1*K15 + H15*'Crash Costs'!$B$2*K15)*10</f>
        <v>#N/A</v>
      </c>
      <c r="Q15" t="e">
        <f t="shared" si="5"/>
        <v>#N/A</v>
      </c>
    </row>
    <row r="16" spans="1:17" x14ac:dyDescent="0.35">
      <c r="A16" t="s">
        <v>61</v>
      </c>
      <c r="B16" s="6" t="s">
        <v>71</v>
      </c>
      <c r="C16" s="3">
        <f>VLOOKUP(B16, 'Crash Data'!$H$33:$N$45, 7, FALSE)</f>
        <v>1.7738158405533238</v>
      </c>
      <c r="D16">
        <f>VLOOKUP(B16, 'Crash Data'!$H$33:$N$45, 4, FALSE)</f>
        <v>32</v>
      </c>
      <c r="E16">
        <f>VLOOKUP(B16, 'Crash Data'!$H$33:$N$45, 5, FALSE)</f>
        <v>0</v>
      </c>
      <c r="F16">
        <f t="shared" si="0"/>
        <v>32</v>
      </c>
      <c r="G16" s="3">
        <f t="shared" si="1"/>
        <v>0</v>
      </c>
      <c r="H16" s="3">
        <f t="shared" si="2"/>
        <v>5.333333333333333</v>
      </c>
      <c r="I16" s="6"/>
      <c r="J16" t="e">
        <f>VLOOKUP(I16, 'Improvement Types'!$A$2:$C$61, 2, FALSE)</f>
        <v>#N/A</v>
      </c>
      <c r="K16" t="e">
        <f t="shared" si="3"/>
        <v>#N/A</v>
      </c>
      <c r="L16" t="e">
        <f>VLOOKUP(I16, 'Improvement Types'!$A$2:$C$61, 3, FALSE)</f>
        <v>#N/A</v>
      </c>
      <c r="M16" t="e">
        <f>VLOOKUP(I16, 'Improvement Types'!$A$2:$D$61, 4, FALSE)</f>
        <v>#N/A</v>
      </c>
      <c r="N16" s="6"/>
      <c r="O16" s="9" t="e">
        <f t="shared" si="4"/>
        <v>#N/A</v>
      </c>
      <c r="P16" s="1" t="e">
        <f>(G16*'Crash Costs'!$B$1*K16 + H16*'Crash Costs'!$B$2*K16)*10</f>
        <v>#N/A</v>
      </c>
      <c r="Q16" t="e">
        <f t="shared" si="5"/>
        <v>#N/A</v>
      </c>
    </row>
    <row r="17" spans="1:17" x14ac:dyDescent="0.35">
      <c r="A17" t="s">
        <v>61</v>
      </c>
      <c r="B17" s="6"/>
      <c r="C17" t="e">
        <f>VLOOKUP(B17, 'Crash Data'!$H$33:$N$45, 7, FALSE)</f>
        <v>#N/A</v>
      </c>
      <c r="D17" t="e">
        <f>VLOOKUP(B17, 'Crash Data'!$H$33:$N$45, 4, FALSE)</f>
        <v>#N/A</v>
      </c>
      <c r="E17" t="e">
        <f>VLOOKUP(B17, 'Crash Data'!$H$33:$N$45, 5, FALSE)</f>
        <v>#N/A</v>
      </c>
      <c r="F17" t="e">
        <f t="shared" si="0"/>
        <v>#N/A</v>
      </c>
      <c r="G17" s="3" t="e">
        <f t="shared" si="1"/>
        <v>#N/A</v>
      </c>
      <c r="H17" s="3" t="e">
        <f t="shared" si="2"/>
        <v>#N/A</v>
      </c>
      <c r="I17" s="6"/>
      <c r="J17" t="e">
        <f>VLOOKUP(I17, 'Improvement Types'!$A$2:$C$61, 2, FALSE)</f>
        <v>#N/A</v>
      </c>
      <c r="K17" t="e">
        <f t="shared" si="3"/>
        <v>#N/A</v>
      </c>
      <c r="L17" t="e">
        <f>VLOOKUP(I17, 'Improvement Types'!$A$2:$C$61, 3, FALSE)</f>
        <v>#N/A</v>
      </c>
      <c r="M17" t="e">
        <f>VLOOKUP(I17, 'Improvement Types'!$A$2:$D$61, 4, FALSE)</f>
        <v>#N/A</v>
      </c>
      <c r="N17" s="6"/>
      <c r="O17" s="9" t="e">
        <f t="shared" si="4"/>
        <v>#N/A</v>
      </c>
      <c r="P17" s="1" t="e">
        <f>(G17*'Crash Costs'!$B$1*K17 + H17*'Crash Costs'!$B$2*K17)*10</f>
        <v>#N/A</v>
      </c>
      <c r="Q17" t="e">
        <f t="shared" si="5"/>
        <v>#N/A</v>
      </c>
    </row>
    <row r="18" spans="1:17" x14ac:dyDescent="0.35">
      <c r="A18" t="s">
        <v>61</v>
      </c>
      <c r="B18" s="6"/>
      <c r="C18" t="e">
        <f>VLOOKUP(B18, 'Crash Data'!$H$33:$N$45, 7, FALSE)</f>
        <v>#N/A</v>
      </c>
      <c r="D18" t="e">
        <f>VLOOKUP(B18, 'Crash Data'!$H$33:$N$45, 4, FALSE)</f>
        <v>#N/A</v>
      </c>
      <c r="E18" t="e">
        <f>VLOOKUP(B18, 'Crash Data'!$H$33:$N$45, 5, FALSE)</f>
        <v>#N/A</v>
      </c>
      <c r="F18" t="e">
        <f t="shared" si="0"/>
        <v>#N/A</v>
      </c>
      <c r="G18" s="3" t="e">
        <f t="shared" si="1"/>
        <v>#N/A</v>
      </c>
      <c r="H18" s="3" t="e">
        <f t="shared" si="2"/>
        <v>#N/A</v>
      </c>
      <c r="I18" s="6"/>
      <c r="J18" t="e">
        <f>VLOOKUP(I18, 'Improvement Types'!$A$2:$C$61, 2, FALSE)</f>
        <v>#N/A</v>
      </c>
      <c r="K18" t="e">
        <f t="shared" si="3"/>
        <v>#N/A</v>
      </c>
      <c r="L18" t="e">
        <f>VLOOKUP(I18, 'Improvement Types'!$A$2:$C$61, 3, FALSE)</f>
        <v>#N/A</v>
      </c>
      <c r="M18" t="e">
        <f>VLOOKUP(I18, 'Improvement Types'!$A$2:$D$61, 4, FALSE)</f>
        <v>#N/A</v>
      </c>
      <c r="N18" s="6"/>
      <c r="O18" s="9" t="e">
        <f t="shared" si="4"/>
        <v>#N/A</v>
      </c>
      <c r="P18" s="1" t="e">
        <f>(G18*'Crash Costs'!$B$1*K18 + H18*'Crash Costs'!$B$2*K18)*10</f>
        <v>#N/A</v>
      </c>
      <c r="Q18" t="e">
        <f t="shared" si="5"/>
        <v>#N/A</v>
      </c>
    </row>
    <row r="19" spans="1:17" x14ac:dyDescent="0.35">
      <c r="A19" t="s">
        <v>61</v>
      </c>
      <c r="B19" s="6"/>
      <c r="C19" t="e">
        <f>VLOOKUP(B19, 'Crash Data'!$H$33:$N$45, 7, FALSE)</f>
        <v>#N/A</v>
      </c>
      <c r="D19" t="e">
        <f>VLOOKUP(B19, 'Crash Data'!$H$33:$N$45, 4, FALSE)</f>
        <v>#N/A</v>
      </c>
      <c r="E19" t="e">
        <f>VLOOKUP(B19, 'Crash Data'!$H$33:$N$45, 5, FALSE)</f>
        <v>#N/A</v>
      </c>
      <c r="F19" t="e">
        <f t="shared" si="0"/>
        <v>#N/A</v>
      </c>
      <c r="G19" s="3" t="e">
        <f t="shared" si="1"/>
        <v>#N/A</v>
      </c>
      <c r="H19" s="3" t="e">
        <f t="shared" si="2"/>
        <v>#N/A</v>
      </c>
      <c r="I19" s="6"/>
      <c r="J19" t="e">
        <f>VLOOKUP(I19, 'Improvement Types'!$A$2:$C$61, 2, FALSE)</f>
        <v>#N/A</v>
      </c>
      <c r="K19" t="e">
        <f t="shared" si="3"/>
        <v>#N/A</v>
      </c>
      <c r="L19" t="e">
        <f>VLOOKUP(I19, 'Improvement Types'!$A$2:$C$61, 3, FALSE)</f>
        <v>#N/A</v>
      </c>
      <c r="M19" t="e">
        <f>VLOOKUP(I19, 'Improvement Types'!$A$2:$D$61, 4, FALSE)</f>
        <v>#N/A</v>
      </c>
      <c r="N19" s="6"/>
      <c r="O19" s="9" t="e">
        <f t="shared" si="4"/>
        <v>#N/A</v>
      </c>
      <c r="P19" s="1" t="e">
        <f>(G19*'Crash Costs'!$B$1*K19 + H19*'Crash Costs'!$B$2*K19)*10</f>
        <v>#N/A</v>
      </c>
      <c r="Q19" t="e">
        <f t="shared" si="5"/>
        <v>#N/A</v>
      </c>
    </row>
    <row r="20" spans="1:17" x14ac:dyDescent="0.35">
      <c r="A20" t="s">
        <v>61</v>
      </c>
      <c r="B20" s="6"/>
      <c r="C20" t="e">
        <f>VLOOKUP(B20, 'Crash Data'!$H$33:$N$45, 7, FALSE)</f>
        <v>#N/A</v>
      </c>
      <c r="D20" t="e">
        <f>VLOOKUP(B20, 'Crash Data'!$H$33:$N$45, 4, FALSE)</f>
        <v>#N/A</v>
      </c>
      <c r="E20" t="e">
        <f>VLOOKUP(B20, 'Crash Data'!$H$33:$N$45, 5, FALSE)</f>
        <v>#N/A</v>
      </c>
      <c r="F20" t="e">
        <f t="shared" si="0"/>
        <v>#N/A</v>
      </c>
      <c r="G20" s="3" t="e">
        <f t="shared" si="1"/>
        <v>#N/A</v>
      </c>
      <c r="H20" s="3" t="e">
        <f t="shared" si="2"/>
        <v>#N/A</v>
      </c>
      <c r="I20" s="6"/>
      <c r="J20" t="e">
        <f>VLOOKUP(I20, 'Improvement Types'!$A$2:$C$61, 2, FALSE)</f>
        <v>#N/A</v>
      </c>
      <c r="K20" t="e">
        <f t="shared" si="3"/>
        <v>#N/A</v>
      </c>
      <c r="L20" t="e">
        <f>VLOOKUP(I20, 'Improvement Types'!$A$2:$C$61, 3, FALSE)</f>
        <v>#N/A</v>
      </c>
      <c r="M20" t="e">
        <f>VLOOKUP(I20, 'Improvement Types'!$A$2:$D$61, 4, FALSE)</f>
        <v>#N/A</v>
      </c>
      <c r="N20" s="6"/>
      <c r="O20" s="9" t="e">
        <f t="shared" si="4"/>
        <v>#N/A</v>
      </c>
      <c r="P20" s="1" t="e">
        <f>(G20*'Crash Costs'!$B$1*K20 + H20*'Crash Costs'!$B$2*K20)*10</f>
        <v>#N/A</v>
      </c>
      <c r="Q20" t="e">
        <f t="shared" si="5"/>
        <v>#N/A</v>
      </c>
    </row>
    <row r="21" spans="1:17" x14ac:dyDescent="0.35">
      <c r="A21" t="s">
        <v>61</v>
      </c>
      <c r="B21" s="6"/>
      <c r="C21" t="e">
        <f>VLOOKUP(B21, 'Crash Data'!$H$33:$N$45, 7, FALSE)</f>
        <v>#N/A</v>
      </c>
      <c r="D21" t="e">
        <f>VLOOKUP(B21, 'Crash Data'!$H$33:$N$45, 4, FALSE)</f>
        <v>#N/A</v>
      </c>
      <c r="E21" t="e">
        <f>VLOOKUP(B21, 'Crash Data'!$H$33:$N$45, 5, FALSE)</f>
        <v>#N/A</v>
      </c>
      <c r="F21" t="e">
        <f t="shared" si="0"/>
        <v>#N/A</v>
      </c>
      <c r="G21" s="3" t="e">
        <f t="shared" si="1"/>
        <v>#N/A</v>
      </c>
      <c r="H21" s="3" t="e">
        <f t="shared" si="2"/>
        <v>#N/A</v>
      </c>
      <c r="I21" s="6"/>
      <c r="J21" t="e">
        <f>VLOOKUP(I21, 'Improvement Types'!$A$2:$C$61, 2, FALSE)</f>
        <v>#N/A</v>
      </c>
      <c r="K21" t="e">
        <f t="shared" si="3"/>
        <v>#N/A</v>
      </c>
      <c r="L21" t="e">
        <f>VLOOKUP(I21, 'Improvement Types'!$A$2:$C$61, 3, FALSE)</f>
        <v>#N/A</v>
      </c>
      <c r="M21" t="e">
        <f>VLOOKUP(I21, 'Improvement Types'!$A$2:$D$61, 4, FALSE)</f>
        <v>#N/A</v>
      </c>
      <c r="N21" s="6"/>
      <c r="O21" s="9" t="e">
        <f t="shared" si="4"/>
        <v>#N/A</v>
      </c>
      <c r="P21" s="1" t="e">
        <f>(G21*'Crash Costs'!$B$1*K21 + H21*'Crash Costs'!$B$2*K21)*10</f>
        <v>#N/A</v>
      </c>
      <c r="Q21" t="e">
        <f t="shared" si="5"/>
        <v>#N/A</v>
      </c>
    </row>
    <row r="22" spans="1:17" x14ac:dyDescent="0.35">
      <c r="A22" t="s">
        <v>61</v>
      </c>
      <c r="B22" s="6"/>
      <c r="C22" t="e">
        <f>VLOOKUP(B22, 'Crash Data'!$H$33:$N$45, 7, FALSE)</f>
        <v>#N/A</v>
      </c>
      <c r="D22" t="e">
        <f>VLOOKUP(B22, 'Crash Data'!$H$33:$N$45, 4, FALSE)</f>
        <v>#N/A</v>
      </c>
      <c r="E22" t="e">
        <f>VLOOKUP(B22, 'Crash Data'!$H$33:$N$45, 5, FALSE)</f>
        <v>#N/A</v>
      </c>
      <c r="F22" t="e">
        <f t="shared" si="0"/>
        <v>#N/A</v>
      </c>
      <c r="G22" s="3" t="e">
        <f t="shared" si="1"/>
        <v>#N/A</v>
      </c>
      <c r="H22" s="3" t="e">
        <f t="shared" si="2"/>
        <v>#N/A</v>
      </c>
      <c r="I22" s="6"/>
      <c r="J22" t="e">
        <f>VLOOKUP(I22, 'Improvement Types'!$A$2:$C$61, 2, FALSE)</f>
        <v>#N/A</v>
      </c>
      <c r="K22" t="e">
        <f t="shared" si="3"/>
        <v>#N/A</v>
      </c>
      <c r="L22" t="e">
        <f>VLOOKUP(I22, 'Improvement Types'!$A$2:$C$61, 3, FALSE)</f>
        <v>#N/A</v>
      </c>
      <c r="M22" t="e">
        <f>VLOOKUP(I22, 'Improvement Types'!$A$2:$D$61, 4, FALSE)</f>
        <v>#N/A</v>
      </c>
      <c r="N22" s="6"/>
      <c r="O22" s="9" t="e">
        <f t="shared" si="4"/>
        <v>#N/A</v>
      </c>
      <c r="P22" s="1" t="e">
        <f>(G22*'Crash Costs'!$B$1*K22 + H22*'Crash Costs'!$B$2*K22)*10</f>
        <v>#N/A</v>
      </c>
      <c r="Q22" t="e">
        <f t="shared" si="5"/>
        <v>#N/A</v>
      </c>
    </row>
    <row r="23" spans="1:17" ht="15" thickBot="1" x14ac:dyDescent="0.4"/>
    <row r="24" spans="1:17" x14ac:dyDescent="0.35">
      <c r="A24" s="17" t="s">
        <v>59</v>
      </c>
      <c r="B24" s="18"/>
      <c r="C24" s="18"/>
      <c r="D24" s="18"/>
      <c r="E24" s="19"/>
    </row>
    <row r="25" spans="1:17" x14ac:dyDescent="0.35">
      <c r="A25" s="20" t="s">
        <v>29</v>
      </c>
      <c r="B25" s="2" t="s">
        <v>36</v>
      </c>
      <c r="C25" s="2" t="s">
        <v>42</v>
      </c>
      <c r="D25" s="2" t="s">
        <v>43</v>
      </c>
      <c r="E25" s="21" t="s">
        <v>44</v>
      </c>
    </row>
    <row r="26" spans="1:17" x14ac:dyDescent="0.35">
      <c r="A26" s="22" t="str" cm="1">
        <f t="array" ref="A26:A44">B4:B22</f>
        <v>MAIN ST</v>
      </c>
      <c r="B26" t="str" cm="1">
        <f t="array" ref="B26:B44">I4:I22</f>
        <v>Roundabouts</v>
      </c>
      <c r="C26" s="31" cm="1">
        <f t="array" ref="C26:C44">O4:O22</f>
        <v>1500000</v>
      </c>
      <c r="D26" s="1" cm="1">
        <f t="array" ref="D26:D44">P4:P22</f>
        <v>16919779.199999999</v>
      </c>
      <c r="E26" s="25" cm="1">
        <f t="array" ref="E26:E44">Q4:Q22</f>
        <v>11.279852799999999</v>
      </c>
    </row>
    <row r="27" spans="1:17" x14ac:dyDescent="0.35">
      <c r="A27" s="22" t="str">
        <v>KNOXVILLE AVE</v>
      </c>
      <c r="B27">
        <v>0</v>
      </c>
      <c r="C27" t="e">
        <v>#N/A</v>
      </c>
      <c r="D27" t="e">
        <v>#N/A</v>
      </c>
      <c r="E27" s="32" t="e">
        <v>#N/A</v>
      </c>
    </row>
    <row r="28" spans="1:17" x14ac:dyDescent="0.35">
      <c r="A28" s="22" t="str">
        <v>JEFFERSON AVE</v>
      </c>
      <c r="B28">
        <v>0</v>
      </c>
      <c r="C28" t="e">
        <v>#N/A</v>
      </c>
      <c r="D28" t="e">
        <v>#N/A</v>
      </c>
      <c r="E28" s="32" t="e">
        <v>#N/A</v>
      </c>
    </row>
    <row r="29" spans="1:17" x14ac:dyDescent="0.35">
      <c r="A29" s="22" t="str">
        <v>ADAMS ST</v>
      </c>
      <c r="B29">
        <v>0</v>
      </c>
      <c r="C29" t="e">
        <v>#N/A</v>
      </c>
      <c r="D29" t="e">
        <v>#N/A</v>
      </c>
      <c r="E29" s="32" t="e">
        <v>#N/A</v>
      </c>
    </row>
    <row r="30" spans="1:17" x14ac:dyDescent="0.35">
      <c r="A30" s="22" t="str">
        <v>SHERIDAN RD</v>
      </c>
      <c r="B30">
        <v>0</v>
      </c>
      <c r="C30" t="e">
        <v>#N/A</v>
      </c>
      <c r="D30" t="e">
        <v>#N/A</v>
      </c>
      <c r="E30" s="32" t="e">
        <v>#N/A</v>
      </c>
    </row>
    <row r="31" spans="1:17" x14ac:dyDescent="0.35">
      <c r="A31" s="22" t="str">
        <v>WESTERN AVE</v>
      </c>
      <c r="B31">
        <v>0</v>
      </c>
      <c r="C31" t="e">
        <v>#N/A</v>
      </c>
      <c r="D31" t="e">
        <v>#N/A</v>
      </c>
      <c r="E31" s="32" t="e">
        <v>#N/A</v>
      </c>
    </row>
    <row r="32" spans="1:17" x14ac:dyDescent="0.35">
      <c r="A32" s="22" t="str">
        <v>STERLING AVE</v>
      </c>
      <c r="B32">
        <v>0</v>
      </c>
      <c r="C32" t="e">
        <v>#N/A</v>
      </c>
      <c r="D32" t="e">
        <v>#N/A</v>
      </c>
      <c r="E32" s="32" t="e">
        <v>#N/A</v>
      </c>
    </row>
    <row r="33" spans="1:5" x14ac:dyDescent="0.35">
      <c r="A33" s="22" t="str">
        <v>NEBRASKA AVE</v>
      </c>
      <c r="B33">
        <v>0</v>
      </c>
      <c r="C33" t="e">
        <v>#N/A</v>
      </c>
      <c r="D33" t="e">
        <v>#N/A</v>
      </c>
      <c r="E33" s="32" t="e">
        <v>#N/A</v>
      </c>
    </row>
    <row r="34" spans="1:5" x14ac:dyDescent="0.35">
      <c r="A34" s="22" t="str">
        <v>MCCLURE AVE</v>
      </c>
      <c r="B34">
        <v>0</v>
      </c>
      <c r="C34" t="e">
        <v>#N/A</v>
      </c>
      <c r="D34" t="e">
        <v>#N/A</v>
      </c>
      <c r="E34" s="32" t="e">
        <v>#N/A</v>
      </c>
    </row>
    <row r="35" spans="1:5" x14ac:dyDescent="0.35">
      <c r="A35" s="22" t="str">
        <v>GLEN OAK AVE</v>
      </c>
      <c r="B35">
        <v>0</v>
      </c>
      <c r="C35" t="e">
        <v>#N/A</v>
      </c>
      <c r="D35" t="e">
        <v>#N/A</v>
      </c>
      <c r="E35" s="32" t="e">
        <v>#N/A</v>
      </c>
    </row>
    <row r="36" spans="1:5" x14ac:dyDescent="0.35">
      <c r="A36" s="22" t="str">
        <v>ABINGTON ST</v>
      </c>
      <c r="B36">
        <v>0</v>
      </c>
      <c r="C36" t="e">
        <v>#N/A</v>
      </c>
      <c r="D36" t="e">
        <v>#N/A</v>
      </c>
      <c r="E36" s="32" t="e">
        <v>#N/A</v>
      </c>
    </row>
    <row r="37" spans="1:5" x14ac:dyDescent="0.35">
      <c r="A37" s="22" t="str">
        <v>SPALDING AVE</v>
      </c>
      <c r="B37">
        <v>0</v>
      </c>
      <c r="C37" t="e">
        <v>#N/A</v>
      </c>
      <c r="D37" t="e">
        <v>#N/A</v>
      </c>
      <c r="E37" s="32" t="e">
        <v>#N/A</v>
      </c>
    </row>
    <row r="38" spans="1:5" x14ac:dyDescent="0.35">
      <c r="A38" s="22" t="str">
        <v>WAR MEMORIAL DR</v>
      </c>
      <c r="B38">
        <v>0</v>
      </c>
      <c r="C38" t="e">
        <v>#N/A</v>
      </c>
      <c r="D38" t="e">
        <v>#N/A</v>
      </c>
      <c r="E38" s="32" t="e">
        <v>#N/A</v>
      </c>
    </row>
    <row r="39" spans="1:5" x14ac:dyDescent="0.35">
      <c r="A39" s="22">
        <v>0</v>
      </c>
      <c r="B39">
        <v>0</v>
      </c>
      <c r="C39" t="e">
        <v>#N/A</v>
      </c>
      <c r="D39" t="e">
        <v>#N/A</v>
      </c>
      <c r="E39" s="32" t="e">
        <v>#N/A</v>
      </c>
    </row>
    <row r="40" spans="1:5" x14ac:dyDescent="0.35">
      <c r="A40" s="22">
        <v>0</v>
      </c>
      <c r="B40">
        <v>0</v>
      </c>
      <c r="C40" t="e">
        <v>#N/A</v>
      </c>
      <c r="D40" t="e">
        <v>#N/A</v>
      </c>
      <c r="E40" s="32" t="e">
        <v>#N/A</v>
      </c>
    </row>
    <row r="41" spans="1:5" x14ac:dyDescent="0.35">
      <c r="A41" s="22">
        <v>0</v>
      </c>
      <c r="B41">
        <v>0</v>
      </c>
      <c r="C41" t="e">
        <v>#N/A</v>
      </c>
      <c r="D41" t="e">
        <v>#N/A</v>
      </c>
      <c r="E41" s="32" t="e">
        <v>#N/A</v>
      </c>
    </row>
    <row r="42" spans="1:5" x14ac:dyDescent="0.35">
      <c r="A42" s="22">
        <v>0</v>
      </c>
      <c r="B42">
        <v>0</v>
      </c>
      <c r="C42" t="e">
        <v>#N/A</v>
      </c>
      <c r="D42" t="e">
        <v>#N/A</v>
      </c>
      <c r="E42" s="32" t="e">
        <v>#N/A</v>
      </c>
    </row>
    <row r="43" spans="1:5" x14ac:dyDescent="0.35">
      <c r="A43" s="22">
        <v>0</v>
      </c>
      <c r="B43">
        <v>0</v>
      </c>
      <c r="C43" t="e">
        <v>#N/A</v>
      </c>
      <c r="D43" t="e">
        <v>#N/A</v>
      </c>
      <c r="E43" s="32" t="e">
        <v>#N/A</v>
      </c>
    </row>
    <row r="44" spans="1:5" ht="15" thickBot="1" x14ac:dyDescent="0.4">
      <c r="A44" s="26">
        <v>0</v>
      </c>
      <c r="B44" s="27">
        <v>0</v>
      </c>
      <c r="C44" s="27" t="e">
        <v>#N/A</v>
      </c>
      <c r="D44" s="27" t="e">
        <v>#N/A</v>
      </c>
      <c r="E44" s="33" t="e">
        <v>#N/A</v>
      </c>
    </row>
  </sheetData>
  <mergeCells count="2">
    <mergeCell ref="A1:B1"/>
    <mergeCell ref="A2:B2"/>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F86EBAFF-5C30-41F7-9EF8-E9310FBC0ACB}">
          <x14:formula1>
            <xm:f>'Crash Data'!$H$33:$H$45</xm:f>
          </x14:formula1>
          <xm:sqref>B4:B22</xm:sqref>
        </x14:dataValidation>
        <x14:dataValidation type="list" allowBlank="1" showInputMessage="1" showErrorMessage="1" xr:uid="{106CB12D-EC31-4C7C-A2A4-EBEE60C00A4C}">
          <x14:formula1>
            <xm:f>'Improvement Types'!$A$2:$A$30</xm:f>
          </x14:formula1>
          <xm:sqref>I4:I22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B0245-5DE1-485E-8F9E-F92B5EA59598}">
  <dimension ref="A1:Q44"/>
  <sheetViews>
    <sheetView topLeftCell="A19" workbookViewId="0">
      <selection activeCell="A24" sqref="A24:E44"/>
    </sheetView>
  </sheetViews>
  <sheetFormatPr defaultRowHeight="14.5" x14ac:dyDescent="0.35"/>
  <cols>
    <col min="1" max="1" width="18.1796875" customWidth="1"/>
    <col min="2" max="2" width="15.26953125" bestFit="1" customWidth="1"/>
    <col min="3" max="3" width="22.54296875" customWidth="1"/>
    <col min="4" max="4" width="14.81640625" bestFit="1" customWidth="1"/>
    <col min="5" max="5" width="10" bestFit="1" customWidth="1"/>
    <col min="7" max="9" width="18.1796875" bestFit="1" customWidth="1"/>
    <col min="10" max="10" width="8.1796875" customWidth="1"/>
    <col min="13" max="13" width="14.81640625" bestFit="1" customWidth="1"/>
    <col min="15" max="15" width="12.7265625" bestFit="1" customWidth="1"/>
    <col min="16" max="16" width="15.54296875" bestFit="1" customWidth="1"/>
    <col min="17" max="17" width="14.81640625" bestFit="1" customWidth="1"/>
  </cols>
  <sheetData>
    <row r="1" spans="1:17" x14ac:dyDescent="0.35">
      <c r="A1" s="39" t="s">
        <v>72</v>
      </c>
      <c r="B1" s="39"/>
    </row>
    <row r="2" spans="1:17" x14ac:dyDescent="0.35">
      <c r="A2" s="40" t="s">
        <v>27</v>
      </c>
      <c r="B2" s="40"/>
    </row>
    <row r="3" spans="1:17" x14ac:dyDescent="0.35">
      <c r="A3" s="2" t="s">
        <v>28</v>
      </c>
      <c r="B3" s="2" t="s">
        <v>29</v>
      </c>
      <c r="C3" s="2" t="s">
        <v>30</v>
      </c>
      <c r="D3" s="2" t="s">
        <v>31</v>
      </c>
      <c r="E3" s="2" t="s">
        <v>32</v>
      </c>
      <c r="F3" s="2" t="s">
        <v>33</v>
      </c>
      <c r="G3" s="2" t="s">
        <v>34</v>
      </c>
      <c r="H3" s="2" t="s">
        <v>35</v>
      </c>
      <c r="I3" s="2" t="s">
        <v>36</v>
      </c>
      <c r="J3" s="2" t="s">
        <v>37</v>
      </c>
      <c r="K3" s="2" t="s">
        <v>38</v>
      </c>
      <c r="L3" s="2" t="s">
        <v>39</v>
      </c>
      <c r="M3" s="2" t="s">
        <v>40</v>
      </c>
      <c r="N3" s="2" t="s">
        <v>41</v>
      </c>
      <c r="O3" s="2" t="s">
        <v>42</v>
      </c>
      <c r="P3" s="2" t="s">
        <v>43</v>
      </c>
      <c r="Q3" s="2" t="s">
        <v>44</v>
      </c>
    </row>
    <row r="4" spans="1:17" x14ac:dyDescent="0.35">
      <c r="A4" t="s">
        <v>73</v>
      </c>
      <c r="B4" s="6" t="s">
        <v>74</v>
      </c>
      <c r="C4" s="3">
        <f>VLOOKUP(B4, 'Crash Data'!$H$18:$N$29, 7, FALSE)</f>
        <v>2.6641725230779754</v>
      </c>
      <c r="D4">
        <f>VLOOKUP(B4, 'Crash Data'!$H$18:$N$29, 4, FALSE)</f>
        <v>7</v>
      </c>
      <c r="E4">
        <f>VLOOKUP(B4, 'Crash Data'!$H$18:$N$29, 5, FALSE)</f>
        <v>1</v>
      </c>
      <c r="F4">
        <f>D4-E4</f>
        <v>6</v>
      </c>
      <c r="G4">
        <f>E4/6</f>
        <v>0.16666666666666666</v>
      </c>
      <c r="H4">
        <f>F4/6</f>
        <v>1</v>
      </c>
      <c r="I4" s="6" t="s">
        <v>75</v>
      </c>
      <c r="J4">
        <f>VLOOKUP(I4, 'Improvement Types'!$A$2:$C$61, 2, FALSE)</f>
        <v>0.78</v>
      </c>
      <c r="K4">
        <f>1- J4</f>
        <v>0.21999999999999997</v>
      </c>
      <c r="L4">
        <f>VLOOKUP(I4, 'Improvement Types'!$A$2:$C$61, 3, FALSE)</f>
        <v>350000</v>
      </c>
      <c r="M4" t="str">
        <f>VLOOKUP(I4, 'Improvement Types'!$A$2:$D$61, 4, FALSE)</f>
        <v>Per implementation</v>
      </c>
      <c r="N4" s="6">
        <v>1</v>
      </c>
      <c r="O4" s="9">
        <f>N4*L4</f>
        <v>350000</v>
      </c>
      <c r="P4" s="1">
        <f>(G4*'Crash Costs'!$B$1*K4 + H4*'Crash Costs'!$B$2*K4)*10</f>
        <v>4090623.5333333327</v>
      </c>
      <c r="Q4">
        <f>P4/O4</f>
        <v>11.687495809523808</v>
      </c>
    </row>
    <row r="5" spans="1:17" x14ac:dyDescent="0.35">
      <c r="A5" t="s">
        <v>73</v>
      </c>
      <c r="B5" s="6" t="s">
        <v>52</v>
      </c>
      <c r="C5" s="3">
        <f>VLOOKUP(B5, 'Crash Data'!$H$18:$N$29, 7, FALSE)</f>
        <v>2.5436832403427747</v>
      </c>
      <c r="D5">
        <f>VLOOKUP(B5, 'Crash Data'!$H$18:$N$29, 4, FALSE)</f>
        <v>14</v>
      </c>
      <c r="E5">
        <f>VLOOKUP(B5, 'Crash Data'!$H$18:$N$29, 5, FALSE)</f>
        <v>3</v>
      </c>
      <c r="F5">
        <f t="shared" ref="F5:F18" si="0">D5-E5</f>
        <v>11</v>
      </c>
      <c r="G5">
        <f t="shared" ref="G5:G18" si="1">E5/6</f>
        <v>0.5</v>
      </c>
      <c r="H5">
        <f t="shared" ref="H5:H18" si="2">F5/6</f>
        <v>1.8333333333333333</v>
      </c>
      <c r="I5" s="6"/>
      <c r="J5" t="e">
        <f>VLOOKUP(I5, 'Improvement Types'!$A$2:$C$61, 2, FALSE)</f>
        <v>#N/A</v>
      </c>
      <c r="K5" t="e">
        <f t="shared" ref="K5:K22" si="3">1- J5</f>
        <v>#N/A</v>
      </c>
      <c r="L5" t="e">
        <f>VLOOKUP(I5, 'Improvement Types'!$A$2:$C$61, 3, FALSE)</f>
        <v>#N/A</v>
      </c>
      <c r="M5" t="e">
        <f>VLOOKUP(I5, 'Improvement Types'!$A$2:$D$61, 4, FALSE)</f>
        <v>#N/A</v>
      </c>
      <c r="N5" s="6"/>
      <c r="O5" s="9" t="e">
        <f t="shared" ref="O5:O22" si="4">N5*L5</f>
        <v>#N/A</v>
      </c>
      <c r="P5" s="1" t="e">
        <f>(G5*'Crash Costs'!$B$1*K5 + H5*'Crash Costs'!$B$2*K5)*10</f>
        <v>#N/A</v>
      </c>
      <c r="Q5" t="e">
        <f t="shared" ref="Q5:Q22" si="5">P5/O5</f>
        <v>#N/A</v>
      </c>
    </row>
    <row r="6" spans="1:17" x14ac:dyDescent="0.35">
      <c r="A6" t="s">
        <v>73</v>
      </c>
      <c r="B6" s="6" t="s">
        <v>76</v>
      </c>
      <c r="C6" s="3">
        <f>VLOOKUP(B6, 'Crash Data'!$H$18:$N$29, 7, FALSE)</f>
        <v>1.1643944773855222</v>
      </c>
      <c r="D6">
        <f>VLOOKUP(B6, 'Crash Data'!$H$18:$N$29, 4, FALSE)</f>
        <v>6</v>
      </c>
      <c r="E6">
        <f>VLOOKUP(B6, 'Crash Data'!$H$18:$N$29, 5, FALSE)</f>
        <v>0</v>
      </c>
      <c r="F6">
        <f t="shared" si="0"/>
        <v>6</v>
      </c>
      <c r="G6">
        <f t="shared" si="1"/>
        <v>0</v>
      </c>
      <c r="H6">
        <f t="shared" si="2"/>
        <v>1</v>
      </c>
      <c r="I6" s="6"/>
      <c r="J6" t="e">
        <f>VLOOKUP(I6, 'Improvement Types'!$A$2:$C$61, 2, FALSE)</f>
        <v>#N/A</v>
      </c>
      <c r="K6" t="e">
        <f t="shared" si="3"/>
        <v>#N/A</v>
      </c>
      <c r="L6" t="e">
        <f>VLOOKUP(I6, 'Improvement Types'!$A$2:$C$61, 3, FALSE)</f>
        <v>#N/A</v>
      </c>
      <c r="M6" t="e">
        <f>VLOOKUP(I6, 'Improvement Types'!$A$2:$D$61, 4, FALSE)</f>
        <v>#N/A</v>
      </c>
      <c r="N6" s="6"/>
      <c r="O6" s="9" t="e">
        <f t="shared" si="4"/>
        <v>#N/A</v>
      </c>
      <c r="P6" s="1" t="e">
        <f>(G6*'Crash Costs'!$B$1*K6 + H6*'Crash Costs'!$B$2*K6)*10</f>
        <v>#N/A</v>
      </c>
      <c r="Q6" t="e">
        <f t="shared" si="5"/>
        <v>#N/A</v>
      </c>
    </row>
    <row r="7" spans="1:17" x14ac:dyDescent="0.35">
      <c r="A7" t="s">
        <v>73</v>
      </c>
      <c r="B7" s="6" t="s">
        <v>53</v>
      </c>
      <c r="C7" s="3">
        <f>VLOOKUP(B7, 'Crash Data'!$H$18:$N$29, 7, FALSE)</f>
        <v>2.1714522614380813</v>
      </c>
      <c r="D7">
        <f>VLOOKUP(B7, 'Crash Data'!$H$18:$N$29, 4, FALSE)</f>
        <v>26</v>
      </c>
      <c r="E7">
        <f>VLOOKUP(B7, 'Crash Data'!$H$18:$N$29, 5, FALSE)</f>
        <v>3</v>
      </c>
      <c r="F7">
        <f t="shared" si="0"/>
        <v>23</v>
      </c>
      <c r="G7">
        <f t="shared" si="1"/>
        <v>0.5</v>
      </c>
      <c r="H7">
        <f t="shared" si="2"/>
        <v>3.8333333333333335</v>
      </c>
      <c r="I7" s="6"/>
      <c r="J7" t="e">
        <f>VLOOKUP(I7, 'Improvement Types'!$A$2:$C$61, 2, FALSE)</f>
        <v>#N/A</v>
      </c>
      <c r="K7" t="e">
        <f t="shared" si="3"/>
        <v>#N/A</v>
      </c>
      <c r="L7" t="e">
        <f>VLOOKUP(I7, 'Improvement Types'!$A$2:$C$61, 3, FALSE)</f>
        <v>#N/A</v>
      </c>
      <c r="M7" t="e">
        <f>VLOOKUP(I7, 'Improvement Types'!$A$2:$D$61, 4, FALSE)</f>
        <v>#N/A</v>
      </c>
      <c r="N7" s="6"/>
      <c r="O7" s="9" t="e">
        <f t="shared" si="4"/>
        <v>#N/A</v>
      </c>
      <c r="P7" s="1" t="e">
        <f>(G7*'Crash Costs'!$B$1*K7 + H7*'Crash Costs'!$B$2*K7)*10</f>
        <v>#N/A</v>
      </c>
      <c r="Q7" t="e">
        <f t="shared" si="5"/>
        <v>#N/A</v>
      </c>
    </row>
    <row r="8" spans="1:17" x14ac:dyDescent="0.35">
      <c r="A8" t="s">
        <v>73</v>
      </c>
      <c r="B8" s="6" t="s">
        <v>77</v>
      </c>
      <c r="C8" s="3">
        <f>VLOOKUP(B8, 'Crash Data'!$H$18:$N$29, 7, FALSE)</f>
        <v>3.0870271262611291</v>
      </c>
      <c r="D8">
        <f>VLOOKUP(B8, 'Crash Data'!$H$18:$N$29, 4, FALSE)</f>
        <v>14</v>
      </c>
      <c r="E8">
        <f>VLOOKUP(B8, 'Crash Data'!$H$18:$N$29, 5, FALSE)</f>
        <v>0</v>
      </c>
      <c r="F8">
        <f t="shared" si="0"/>
        <v>14</v>
      </c>
      <c r="G8">
        <f t="shared" si="1"/>
        <v>0</v>
      </c>
      <c r="H8">
        <f t="shared" si="2"/>
        <v>2.3333333333333335</v>
      </c>
      <c r="I8" s="6"/>
      <c r="J8" t="e">
        <f>VLOOKUP(I8, 'Improvement Types'!$A$2:$C$61, 2, FALSE)</f>
        <v>#N/A</v>
      </c>
      <c r="K8" t="e">
        <f t="shared" si="3"/>
        <v>#N/A</v>
      </c>
      <c r="L8" t="e">
        <f>VLOOKUP(I8, 'Improvement Types'!$A$2:$C$61, 3, FALSE)</f>
        <v>#N/A</v>
      </c>
      <c r="M8" t="e">
        <f>VLOOKUP(I8, 'Improvement Types'!$A$2:$D$61, 4, FALSE)</f>
        <v>#N/A</v>
      </c>
      <c r="N8" s="6"/>
      <c r="O8" s="9" t="e">
        <f t="shared" si="4"/>
        <v>#N/A</v>
      </c>
      <c r="P8" s="1" t="e">
        <f>(G8*'Crash Costs'!$B$1*K8 + H8*'Crash Costs'!$B$2*K8)*10</f>
        <v>#N/A</v>
      </c>
      <c r="Q8" t="e">
        <f t="shared" si="5"/>
        <v>#N/A</v>
      </c>
    </row>
    <row r="9" spans="1:17" x14ac:dyDescent="0.35">
      <c r="A9" t="s">
        <v>73</v>
      </c>
      <c r="B9" s="6" t="s">
        <v>78</v>
      </c>
      <c r="C9" s="3">
        <f>VLOOKUP(B9, 'Crash Data'!$H$18:$N$29, 7, FALSE)</f>
        <v>0.4624491025996163</v>
      </c>
      <c r="D9">
        <f>VLOOKUP(B9, 'Crash Data'!$H$18:$N$29, 4, FALSE)</f>
        <v>2</v>
      </c>
      <c r="E9">
        <f>VLOOKUP(B9, 'Crash Data'!$H$18:$N$29, 5, FALSE)</f>
        <v>0</v>
      </c>
      <c r="F9">
        <f t="shared" si="0"/>
        <v>2</v>
      </c>
      <c r="G9">
        <f t="shared" si="1"/>
        <v>0</v>
      </c>
      <c r="H9">
        <f t="shared" si="2"/>
        <v>0.33333333333333331</v>
      </c>
      <c r="I9" s="6"/>
      <c r="J9" t="e">
        <f>VLOOKUP(I9, 'Improvement Types'!$A$2:$C$61, 2, FALSE)</f>
        <v>#N/A</v>
      </c>
      <c r="K9" t="e">
        <f t="shared" si="3"/>
        <v>#N/A</v>
      </c>
      <c r="L9" t="e">
        <f>VLOOKUP(I9, 'Improvement Types'!$A$2:$C$61, 3, FALSE)</f>
        <v>#N/A</v>
      </c>
      <c r="M9" t="e">
        <f>VLOOKUP(I9, 'Improvement Types'!$A$2:$D$61, 4, FALSE)</f>
        <v>#N/A</v>
      </c>
      <c r="N9" s="6"/>
      <c r="O9" s="9" t="e">
        <f t="shared" si="4"/>
        <v>#N/A</v>
      </c>
      <c r="P9" s="1" t="e">
        <f>(G9*'Crash Costs'!$B$1*K9 + H9*'Crash Costs'!$B$2*K9)*10</f>
        <v>#N/A</v>
      </c>
      <c r="Q9" t="e">
        <f t="shared" si="5"/>
        <v>#N/A</v>
      </c>
    </row>
    <row r="10" spans="1:17" x14ac:dyDescent="0.35">
      <c r="A10" t="s">
        <v>73</v>
      </c>
      <c r="B10" s="6" t="s">
        <v>79</v>
      </c>
      <c r="C10" s="3">
        <f>VLOOKUP(B10, 'Crash Data'!$H$18:$N$29, 7, FALSE)</f>
        <v>1.2135319145833332</v>
      </c>
      <c r="D10">
        <f>VLOOKUP(B10, 'Crash Data'!$H$18:$N$29, 4, FALSE)</f>
        <v>13</v>
      </c>
      <c r="E10">
        <f>VLOOKUP(B10, 'Crash Data'!$H$18:$N$29, 5, FALSE)</f>
        <v>0</v>
      </c>
      <c r="F10">
        <f t="shared" si="0"/>
        <v>13</v>
      </c>
      <c r="G10">
        <f t="shared" si="1"/>
        <v>0</v>
      </c>
      <c r="H10">
        <f t="shared" si="2"/>
        <v>2.1666666666666665</v>
      </c>
      <c r="I10" s="6"/>
      <c r="J10" t="e">
        <f>VLOOKUP(I10, 'Improvement Types'!$A$2:$C$61, 2, FALSE)</f>
        <v>#N/A</v>
      </c>
      <c r="K10" t="e">
        <f t="shared" si="3"/>
        <v>#N/A</v>
      </c>
      <c r="L10" t="e">
        <f>VLOOKUP(I10, 'Improvement Types'!$A$2:$C$61, 3, FALSE)</f>
        <v>#N/A</v>
      </c>
      <c r="M10" t="e">
        <f>VLOOKUP(I10, 'Improvement Types'!$A$2:$D$61, 4, FALSE)</f>
        <v>#N/A</v>
      </c>
      <c r="N10" s="6"/>
      <c r="O10" s="9" t="e">
        <f t="shared" si="4"/>
        <v>#N/A</v>
      </c>
      <c r="P10" s="1" t="e">
        <f>(G10*'Crash Costs'!$B$1*K10 + H10*'Crash Costs'!$B$2*K10)*10</f>
        <v>#N/A</v>
      </c>
      <c r="Q10" t="e">
        <f t="shared" si="5"/>
        <v>#N/A</v>
      </c>
    </row>
    <row r="11" spans="1:17" x14ac:dyDescent="0.35">
      <c r="A11" t="s">
        <v>73</v>
      </c>
      <c r="B11" s="6" t="s">
        <v>80</v>
      </c>
      <c r="C11" s="3">
        <f>VLOOKUP(B11, 'Crash Data'!$H$18:$N$29, 7, FALSE)</f>
        <v>0.57349309404808801</v>
      </c>
      <c r="D11">
        <f>VLOOKUP(B11, 'Crash Data'!$H$18:$N$29, 4, FALSE)</f>
        <v>12</v>
      </c>
      <c r="E11">
        <f>VLOOKUP(B11, 'Crash Data'!$H$18:$N$29, 5, FALSE)</f>
        <v>0</v>
      </c>
      <c r="F11">
        <f t="shared" si="0"/>
        <v>12</v>
      </c>
      <c r="G11">
        <f t="shared" si="1"/>
        <v>0</v>
      </c>
      <c r="H11">
        <f t="shared" si="2"/>
        <v>2</v>
      </c>
      <c r="I11" s="6"/>
      <c r="J11" t="e">
        <f>VLOOKUP(I11, 'Improvement Types'!$A$2:$C$61, 2, FALSE)</f>
        <v>#N/A</v>
      </c>
      <c r="K11" t="e">
        <f t="shared" si="3"/>
        <v>#N/A</v>
      </c>
      <c r="L11" t="e">
        <f>VLOOKUP(I11, 'Improvement Types'!$A$2:$C$61, 3, FALSE)</f>
        <v>#N/A</v>
      </c>
      <c r="M11" t="e">
        <f>VLOOKUP(I11, 'Improvement Types'!$A$2:$D$61, 4, FALSE)</f>
        <v>#N/A</v>
      </c>
      <c r="N11" s="6"/>
      <c r="O11" s="9" t="e">
        <f t="shared" si="4"/>
        <v>#N/A</v>
      </c>
      <c r="P11" s="1" t="e">
        <f>(G11*'Crash Costs'!$B$1*K11 + H11*'Crash Costs'!$B$2*K11)*10</f>
        <v>#N/A</v>
      </c>
      <c r="Q11" t="e">
        <f t="shared" si="5"/>
        <v>#N/A</v>
      </c>
    </row>
    <row r="12" spans="1:17" x14ac:dyDescent="0.35">
      <c r="A12" t="s">
        <v>73</v>
      </c>
      <c r="B12" s="6" t="s">
        <v>81</v>
      </c>
      <c r="C12" s="3">
        <f>VLOOKUP(B12, 'Crash Data'!$H$18:$N$29, 7, FALSE)</f>
        <v>0.35341608959022802</v>
      </c>
      <c r="D12">
        <f>VLOOKUP(B12, 'Crash Data'!$H$18:$N$29, 4, FALSE)</f>
        <v>4</v>
      </c>
      <c r="E12">
        <f>VLOOKUP(B12, 'Crash Data'!$H$18:$N$29, 5, FALSE)</f>
        <v>1</v>
      </c>
      <c r="F12">
        <f t="shared" si="0"/>
        <v>3</v>
      </c>
      <c r="G12">
        <f t="shared" si="1"/>
        <v>0.16666666666666666</v>
      </c>
      <c r="H12">
        <f t="shared" si="2"/>
        <v>0.5</v>
      </c>
      <c r="I12" s="6"/>
      <c r="J12" t="e">
        <f>VLOOKUP(I12, 'Improvement Types'!$A$2:$C$61, 2, FALSE)</f>
        <v>#N/A</v>
      </c>
      <c r="K12" t="e">
        <f t="shared" si="3"/>
        <v>#N/A</v>
      </c>
      <c r="L12" t="e">
        <f>VLOOKUP(I12, 'Improvement Types'!$A$2:$C$61, 3, FALSE)</f>
        <v>#N/A</v>
      </c>
      <c r="M12" t="e">
        <f>VLOOKUP(I12, 'Improvement Types'!$A$2:$D$61, 4, FALSE)</f>
        <v>#N/A</v>
      </c>
      <c r="N12" s="6"/>
      <c r="O12" s="9" t="e">
        <f t="shared" si="4"/>
        <v>#N/A</v>
      </c>
      <c r="P12" s="1" t="e">
        <f>(G12*'Crash Costs'!$B$1*K12 + H12*'Crash Costs'!$B$2*K12)*10</f>
        <v>#N/A</v>
      </c>
      <c r="Q12" t="e">
        <f t="shared" si="5"/>
        <v>#N/A</v>
      </c>
    </row>
    <row r="13" spans="1:17" x14ac:dyDescent="0.35">
      <c r="A13" t="s">
        <v>73</v>
      </c>
      <c r="B13" s="6" t="s">
        <v>82</v>
      </c>
      <c r="C13" s="3">
        <f>VLOOKUP(B13, 'Crash Data'!$H$18:$N$29, 7, FALSE)</f>
        <v>0.40536306348691548</v>
      </c>
      <c r="D13">
        <f>VLOOKUP(B13, 'Crash Data'!$H$18:$N$29, 4, FALSE)</f>
        <v>5</v>
      </c>
      <c r="E13">
        <f>VLOOKUP(B13, 'Crash Data'!$H$18:$N$29, 5, FALSE)</f>
        <v>0</v>
      </c>
      <c r="F13">
        <f t="shared" si="0"/>
        <v>5</v>
      </c>
      <c r="G13">
        <f t="shared" si="1"/>
        <v>0</v>
      </c>
      <c r="H13">
        <f t="shared" si="2"/>
        <v>0.83333333333333337</v>
      </c>
      <c r="I13" s="6"/>
      <c r="J13" t="e">
        <f>VLOOKUP(I13, 'Improvement Types'!$A$2:$C$61, 2, FALSE)</f>
        <v>#N/A</v>
      </c>
      <c r="K13" t="e">
        <f t="shared" si="3"/>
        <v>#N/A</v>
      </c>
      <c r="L13" t="e">
        <f>VLOOKUP(I13, 'Improvement Types'!$A$2:$C$61, 3, FALSE)</f>
        <v>#N/A</v>
      </c>
      <c r="M13" t="e">
        <f>VLOOKUP(I13, 'Improvement Types'!$A$2:$D$61, 4, FALSE)</f>
        <v>#N/A</v>
      </c>
      <c r="N13" s="6"/>
      <c r="O13" s="9" t="e">
        <f t="shared" si="4"/>
        <v>#N/A</v>
      </c>
      <c r="P13" s="1" t="e">
        <f>(G13*'Crash Costs'!$B$1*K13 + H13*'Crash Costs'!$B$2*K13)*10</f>
        <v>#N/A</v>
      </c>
      <c r="Q13" t="e">
        <f t="shared" si="5"/>
        <v>#N/A</v>
      </c>
    </row>
    <row r="14" spans="1:17" x14ac:dyDescent="0.35">
      <c r="A14" t="s">
        <v>73</v>
      </c>
      <c r="B14" s="6" t="s">
        <v>83</v>
      </c>
      <c r="C14" s="3">
        <f>VLOOKUP(B14, 'Crash Data'!$H$18:$N$29, 7, FALSE)</f>
        <v>6.4169130070363858</v>
      </c>
      <c r="D14">
        <f>VLOOKUP(B14, 'Crash Data'!$H$18:$N$29, 4, FALSE)</f>
        <v>28</v>
      </c>
      <c r="E14">
        <f>VLOOKUP(B14, 'Crash Data'!$H$18:$N$29, 5, FALSE)</f>
        <v>4</v>
      </c>
      <c r="F14">
        <f t="shared" si="0"/>
        <v>24</v>
      </c>
      <c r="G14">
        <f t="shared" si="1"/>
        <v>0.66666666666666663</v>
      </c>
      <c r="H14">
        <f t="shared" si="2"/>
        <v>4</v>
      </c>
      <c r="I14" s="6"/>
      <c r="J14" t="e">
        <f>VLOOKUP(I14, 'Improvement Types'!$A$2:$C$61, 2, FALSE)</f>
        <v>#N/A</v>
      </c>
      <c r="K14" t="e">
        <f t="shared" si="3"/>
        <v>#N/A</v>
      </c>
      <c r="L14" t="e">
        <f>VLOOKUP(I14, 'Improvement Types'!$A$2:$C$61, 3, FALSE)</f>
        <v>#N/A</v>
      </c>
      <c r="M14" t="e">
        <f>VLOOKUP(I14, 'Improvement Types'!$A$2:$D$61, 4, FALSE)</f>
        <v>#N/A</v>
      </c>
      <c r="N14" s="6"/>
      <c r="O14" s="9" t="e">
        <f t="shared" si="4"/>
        <v>#N/A</v>
      </c>
      <c r="P14" s="1" t="e">
        <f>(G14*'Crash Costs'!$B$1*K14 + H14*'Crash Costs'!$B$2*K14)*10</f>
        <v>#N/A</v>
      </c>
      <c r="Q14" t="e">
        <f t="shared" si="5"/>
        <v>#N/A</v>
      </c>
    </row>
    <row r="15" spans="1:17" x14ac:dyDescent="0.35">
      <c r="A15" t="s">
        <v>73</v>
      </c>
      <c r="B15" s="6" t="s">
        <v>84</v>
      </c>
      <c r="C15" s="3">
        <f>VLOOKUP(B15, 'Crash Data'!$H$18:$N$29, 7, FALSE)</f>
        <v>0.57375663352272732</v>
      </c>
      <c r="D15">
        <f>VLOOKUP(B15, 'Crash Data'!$H$18:$N$29, 4, FALSE)</f>
        <v>7</v>
      </c>
      <c r="E15">
        <f>VLOOKUP(B15, 'Crash Data'!$H$18:$N$29, 5, FALSE)</f>
        <v>0</v>
      </c>
      <c r="F15">
        <f t="shared" si="0"/>
        <v>7</v>
      </c>
      <c r="G15">
        <f t="shared" si="1"/>
        <v>0</v>
      </c>
      <c r="H15">
        <f t="shared" si="2"/>
        <v>1.1666666666666667</v>
      </c>
      <c r="I15" s="6"/>
      <c r="J15" t="e">
        <f>VLOOKUP(I15, 'Improvement Types'!$A$2:$C$61, 2, FALSE)</f>
        <v>#N/A</v>
      </c>
      <c r="K15" t="e">
        <f t="shared" si="3"/>
        <v>#N/A</v>
      </c>
      <c r="L15" t="e">
        <f>VLOOKUP(I15, 'Improvement Types'!$A$2:$C$61, 3, FALSE)</f>
        <v>#N/A</v>
      </c>
      <c r="M15" t="e">
        <f>VLOOKUP(I15, 'Improvement Types'!$A$2:$D$61, 4, FALSE)</f>
        <v>#N/A</v>
      </c>
      <c r="N15" s="6"/>
      <c r="O15" s="9" t="e">
        <f t="shared" si="4"/>
        <v>#N/A</v>
      </c>
      <c r="P15" s="1" t="e">
        <f>(G15*'Crash Costs'!$B$1*K15 + H15*'Crash Costs'!$B$2*K15)*10</f>
        <v>#N/A</v>
      </c>
      <c r="Q15" t="e">
        <f t="shared" si="5"/>
        <v>#N/A</v>
      </c>
    </row>
    <row r="16" spans="1:17" x14ac:dyDescent="0.35">
      <c r="A16" t="s">
        <v>73</v>
      </c>
      <c r="B16" s="6"/>
      <c r="C16" t="e">
        <f>VLOOKUP(B16, 'Crash Data'!$H$18:$N$29, 7, FALSE)</f>
        <v>#N/A</v>
      </c>
      <c r="D16" t="e">
        <f>VLOOKUP(B16, 'Crash Data'!$H$18:$N$29, 4, FALSE)</f>
        <v>#N/A</v>
      </c>
      <c r="E16" t="e">
        <f>VLOOKUP(B16, 'Crash Data'!$H$18:$N$29, 5, FALSE)</f>
        <v>#N/A</v>
      </c>
      <c r="F16" t="e">
        <f t="shared" si="0"/>
        <v>#N/A</v>
      </c>
      <c r="G16" t="e">
        <f t="shared" si="1"/>
        <v>#N/A</v>
      </c>
      <c r="H16" t="e">
        <f t="shared" si="2"/>
        <v>#N/A</v>
      </c>
      <c r="I16" s="6"/>
      <c r="J16" t="e">
        <f>VLOOKUP(I16, 'Improvement Types'!$A$2:$C$61, 2, FALSE)</f>
        <v>#N/A</v>
      </c>
      <c r="K16" t="e">
        <f t="shared" si="3"/>
        <v>#N/A</v>
      </c>
      <c r="L16" t="e">
        <f>VLOOKUP(I16, 'Improvement Types'!$A$2:$C$61, 3, FALSE)</f>
        <v>#N/A</v>
      </c>
      <c r="M16" t="e">
        <f>VLOOKUP(I16, 'Improvement Types'!$A$2:$D$61, 4, FALSE)</f>
        <v>#N/A</v>
      </c>
      <c r="N16" s="6"/>
      <c r="O16" s="9" t="e">
        <f t="shared" si="4"/>
        <v>#N/A</v>
      </c>
      <c r="P16" s="1" t="e">
        <f>(G16*'Crash Costs'!$B$1*K16 + H16*'Crash Costs'!$B$2*K16)*10</f>
        <v>#N/A</v>
      </c>
      <c r="Q16" t="e">
        <f t="shared" si="5"/>
        <v>#N/A</v>
      </c>
    </row>
    <row r="17" spans="1:17" x14ac:dyDescent="0.35">
      <c r="A17" t="s">
        <v>73</v>
      </c>
      <c r="B17" s="6"/>
      <c r="C17" t="e">
        <f>VLOOKUP(B17, 'Crash Data'!$H$18:$N$29, 7, FALSE)</f>
        <v>#N/A</v>
      </c>
      <c r="D17" t="e">
        <f>VLOOKUP(B17, 'Crash Data'!$H$18:$N$29, 4, FALSE)</f>
        <v>#N/A</v>
      </c>
      <c r="E17" t="e">
        <f>VLOOKUP(B17, 'Crash Data'!$H$18:$N$29, 5, FALSE)</f>
        <v>#N/A</v>
      </c>
      <c r="F17" t="e">
        <f t="shared" si="0"/>
        <v>#N/A</v>
      </c>
      <c r="G17" t="e">
        <f t="shared" si="1"/>
        <v>#N/A</v>
      </c>
      <c r="H17" t="e">
        <f t="shared" si="2"/>
        <v>#N/A</v>
      </c>
      <c r="I17" s="6"/>
      <c r="J17" t="e">
        <f>VLOOKUP(I17, 'Improvement Types'!$A$2:$C$61, 2, FALSE)</f>
        <v>#N/A</v>
      </c>
      <c r="K17" t="e">
        <f t="shared" si="3"/>
        <v>#N/A</v>
      </c>
      <c r="L17" t="e">
        <f>VLOOKUP(I17, 'Improvement Types'!$A$2:$C$61, 3, FALSE)</f>
        <v>#N/A</v>
      </c>
      <c r="M17" t="e">
        <f>VLOOKUP(I17, 'Improvement Types'!$A$2:$D$61, 4, FALSE)</f>
        <v>#N/A</v>
      </c>
      <c r="N17" s="6"/>
      <c r="O17" s="9" t="e">
        <f t="shared" si="4"/>
        <v>#N/A</v>
      </c>
      <c r="P17" s="1" t="e">
        <f>(G17*'Crash Costs'!$B$1*K17 + H17*'Crash Costs'!$B$2*K17)*10</f>
        <v>#N/A</v>
      </c>
      <c r="Q17" t="e">
        <f t="shared" si="5"/>
        <v>#N/A</v>
      </c>
    </row>
    <row r="18" spans="1:17" x14ac:dyDescent="0.35">
      <c r="A18" t="s">
        <v>73</v>
      </c>
      <c r="B18" s="6"/>
      <c r="C18" t="e">
        <f>VLOOKUP(B18, 'Crash Data'!$H$18:$N$29, 7, FALSE)</f>
        <v>#N/A</v>
      </c>
      <c r="D18" t="e">
        <f>VLOOKUP(B18, 'Crash Data'!$H$18:$N$29, 4, FALSE)</f>
        <v>#N/A</v>
      </c>
      <c r="E18" t="e">
        <f>VLOOKUP(B18, 'Crash Data'!$H$18:$N$29, 5, FALSE)</f>
        <v>#N/A</v>
      </c>
      <c r="F18" t="e">
        <f t="shared" si="0"/>
        <v>#N/A</v>
      </c>
      <c r="G18" t="e">
        <f t="shared" si="1"/>
        <v>#N/A</v>
      </c>
      <c r="H18" t="e">
        <f t="shared" si="2"/>
        <v>#N/A</v>
      </c>
      <c r="I18" s="6"/>
      <c r="J18" t="e">
        <f>VLOOKUP(I18, 'Improvement Types'!$A$2:$C$61, 2, FALSE)</f>
        <v>#N/A</v>
      </c>
      <c r="K18" t="e">
        <f t="shared" si="3"/>
        <v>#N/A</v>
      </c>
      <c r="L18" t="e">
        <f>VLOOKUP(I18, 'Improvement Types'!$A$2:$C$61, 3, FALSE)</f>
        <v>#N/A</v>
      </c>
      <c r="M18" t="e">
        <f>VLOOKUP(I18, 'Improvement Types'!$A$2:$D$61, 4, FALSE)</f>
        <v>#N/A</v>
      </c>
      <c r="N18" s="6"/>
      <c r="O18" s="9" t="e">
        <f t="shared" si="4"/>
        <v>#N/A</v>
      </c>
      <c r="P18" s="1" t="e">
        <f>(G18*'Crash Costs'!$B$1*K18 + H18*'Crash Costs'!$B$2*K18)*10</f>
        <v>#N/A</v>
      </c>
      <c r="Q18" t="e">
        <f t="shared" si="5"/>
        <v>#N/A</v>
      </c>
    </row>
    <row r="19" spans="1:17" x14ac:dyDescent="0.35">
      <c r="A19" t="s">
        <v>73</v>
      </c>
      <c r="B19" s="6"/>
      <c r="C19" t="e">
        <f>VLOOKUP(B19, 'Crash Data'!$H$18:$N$29, 7, FALSE)</f>
        <v>#N/A</v>
      </c>
      <c r="D19" t="e">
        <f>VLOOKUP(B19, 'Crash Data'!$H$18:$N$29, 4, FALSE)</f>
        <v>#N/A</v>
      </c>
      <c r="E19" t="e">
        <f>VLOOKUP(B19, 'Crash Data'!$H$18:$N$29, 5, FALSE)</f>
        <v>#N/A</v>
      </c>
      <c r="F19" t="e">
        <f t="shared" ref="F19:F22" si="6">D19-E19</f>
        <v>#N/A</v>
      </c>
      <c r="G19" t="e">
        <f t="shared" ref="G19:G22" si="7">E19/6</f>
        <v>#N/A</v>
      </c>
      <c r="H19" t="e">
        <f t="shared" ref="H19:H22" si="8">F19/6</f>
        <v>#N/A</v>
      </c>
      <c r="I19" s="6"/>
      <c r="J19" t="e">
        <f>VLOOKUP(I19, 'Improvement Types'!$A$2:$C$61, 2, FALSE)</f>
        <v>#N/A</v>
      </c>
      <c r="K19" t="e">
        <f t="shared" si="3"/>
        <v>#N/A</v>
      </c>
      <c r="L19" t="e">
        <f>VLOOKUP(I19, 'Improvement Types'!$A$2:$C$61, 3, FALSE)</f>
        <v>#N/A</v>
      </c>
      <c r="M19" t="e">
        <f>VLOOKUP(I19, 'Improvement Types'!$A$2:$D$61, 4, FALSE)</f>
        <v>#N/A</v>
      </c>
      <c r="N19" s="6"/>
      <c r="O19" s="9" t="e">
        <f t="shared" si="4"/>
        <v>#N/A</v>
      </c>
      <c r="P19" s="1" t="e">
        <f>(G19*'Crash Costs'!$B$1*K19 + H19*'Crash Costs'!$B$2*K19)*10</f>
        <v>#N/A</v>
      </c>
      <c r="Q19" t="e">
        <f t="shared" si="5"/>
        <v>#N/A</v>
      </c>
    </row>
    <row r="20" spans="1:17" x14ac:dyDescent="0.35">
      <c r="A20" t="s">
        <v>73</v>
      </c>
      <c r="B20" s="6"/>
      <c r="C20" t="e">
        <f>VLOOKUP(B20, 'Crash Data'!$H$18:$N$29, 7, FALSE)</f>
        <v>#N/A</v>
      </c>
      <c r="D20" t="e">
        <f>VLOOKUP(B20, 'Crash Data'!$H$18:$N$29, 4, FALSE)</f>
        <v>#N/A</v>
      </c>
      <c r="E20" t="e">
        <f>VLOOKUP(B20, 'Crash Data'!$H$18:$N$29, 5, FALSE)</f>
        <v>#N/A</v>
      </c>
      <c r="F20" t="e">
        <f t="shared" si="6"/>
        <v>#N/A</v>
      </c>
      <c r="G20" t="e">
        <f t="shared" si="7"/>
        <v>#N/A</v>
      </c>
      <c r="H20" t="e">
        <f t="shared" si="8"/>
        <v>#N/A</v>
      </c>
      <c r="I20" s="6"/>
      <c r="J20" t="e">
        <f>VLOOKUP(I20, 'Improvement Types'!$A$2:$C$61, 2, FALSE)</f>
        <v>#N/A</v>
      </c>
      <c r="K20" t="e">
        <f t="shared" si="3"/>
        <v>#N/A</v>
      </c>
      <c r="L20" t="e">
        <f>VLOOKUP(I20, 'Improvement Types'!$A$2:$C$61, 3, FALSE)</f>
        <v>#N/A</v>
      </c>
      <c r="M20" t="e">
        <f>VLOOKUP(I20, 'Improvement Types'!$A$2:$D$61, 4, FALSE)</f>
        <v>#N/A</v>
      </c>
      <c r="N20" s="6"/>
      <c r="O20" s="9" t="e">
        <f t="shared" si="4"/>
        <v>#N/A</v>
      </c>
      <c r="P20" s="1" t="e">
        <f>(G20*'Crash Costs'!$B$1*K20 + H20*'Crash Costs'!$B$2*K20)*10</f>
        <v>#N/A</v>
      </c>
      <c r="Q20" t="e">
        <f t="shared" si="5"/>
        <v>#N/A</v>
      </c>
    </row>
    <row r="21" spans="1:17" x14ac:dyDescent="0.35">
      <c r="A21" t="s">
        <v>73</v>
      </c>
      <c r="B21" s="6"/>
      <c r="C21" t="e">
        <f>VLOOKUP(B21, 'Crash Data'!$H$18:$N$29, 7, FALSE)</f>
        <v>#N/A</v>
      </c>
      <c r="D21" t="e">
        <f>VLOOKUP(B21, 'Crash Data'!$H$18:$N$29, 4, FALSE)</f>
        <v>#N/A</v>
      </c>
      <c r="E21" t="e">
        <f>VLOOKUP(B21, 'Crash Data'!$H$18:$N$29, 5, FALSE)</f>
        <v>#N/A</v>
      </c>
      <c r="F21" t="e">
        <f t="shared" si="6"/>
        <v>#N/A</v>
      </c>
      <c r="G21" t="e">
        <f t="shared" si="7"/>
        <v>#N/A</v>
      </c>
      <c r="H21" t="e">
        <f t="shared" si="8"/>
        <v>#N/A</v>
      </c>
      <c r="I21" s="6"/>
      <c r="J21" t="e">
        <f>VLOOKUP(I21, 'Improvement Types'!$A$2:$C$61, 2, FALSE)</f>
        <v>#N/A</v>
      </c>
      <c r="K21" t="e">
        <f t="shared" si="3"/>
        <v>#N/A</v>
      </c>
      <c r="L21" t="e">
        <f>VLOOKUP(I21, 'Improvement Types'!$A$2:$C$61, 3, FALSE)</f>
        <v>#N/A</v>
      </c>
      <c r="M21" t="e">
        <f>VLOOKUP(I21, 'Improvement Types'!$A$2:$D$61, 4, FALSE)</f>
        <v>#N/A</v>
      </c>
      <c r="N21" s="6"/>
      <c r="O21" s="9" t="e">
        <f t="shared" si="4"/>
        <v>#N/A</v>
      </c>
      <c r="P21" s="1" t="e">
        <f>(G21*'Crash Costs'!$B$1*K21 + H21*'Crash Costs'!$B$2*K21)*10</f>
        <v>#N/A</v>
      </c>
      <c r="Q21" t="e">
        <f t="shared" si="5"/>
        <v>#N/A</v>
      </c>
    </row>
    <row r="22" spans="1:17" x14ac:dyDescent="0.35">
      <c r="A22" t="s">
        <v>73</v>
      </c>
      <c r="B22" s="6"/>
      <c r="C22" t="e">
        <f>VLOOKUP(B22, 'Crash Data'!$H$18:$N$29, 7, FALSE)</f>
        <v>#N/A</v>
      </c>
      <c r="D22" t="e">
        <f>VLOOKUP(B22, 'Crash Data'!$H$18:$N$29, 4, FALSE)</f>
        <v>#N/A</v>
      </c>
      <c r="E22" t="e">
        <f>VLOOKUP(B22, 'Crash Data'!$H$18:$N$29, 5, FALSE)</f>
        <v>#N/A</v>
      </c>
      <c r="F22" t="e">
        <f t="shared" si="6"/>
        <v>#N/A</v>
      </c>
      <c r="G22" t="e">
        <f t="shared" si="7"/>
        <v>#N/A</v>
      </c>
      <c r="H22" t="e">
        <f t="shared" si="8"/>
        <v>#N/A</v>
      </c>
      <c r="I22" s="6"/>
      <c r="J22" t="e">
        <f>VLOOKUP(I22, 'Improvement Types'!$A$2:$C$61, 2, FALSE)</f>
        <v>#N/A</v>
      </c>
      <c r="K22" t="e">
        <f t="shared" si="3"/>
        <v>#N/A</v>
      </c>
      <c r="L22" t="e">
        <f>VLOOKUP(I22, 'Improvement Types'!$A$2:$C$61, 3, FALSE)</f>
        <v>#N/A</v>
      </c>
      <c r="M22" t="e">
        <f>VLOOKUP(I22, 'Improvement Types'!$A$2:$D$61, 4, FALSE)</f>
        <v>#N/A</v>
      </c>
      <c r="N22" s="6"/>
      <c r="O22" s="9" t="e">
        <f t="shared" si="4"/>
        <v>#N/A</v>
      </c>
      <c r="P22" s="1" t="e">
        <f>(G22*'Crash Costs'!$B$1*K22 + H22*'Crash Costs'!$B$2*K22)*10</f>
        <v>#N/A</v>
      </c>
      <c r="Q22" t="e">
        <f t="shared" si="5"/>
        <v>#N/A</v>
      </c>
    </row>
    <row r="23" spans="1:17" ht="15" thickBot="1" x14ac:dyDescent="0.4"/>
    <row r="24" spans="1:17" x14ac:dyDescent="0.35">
      <c r="A24" s="17" t="s">
        <v>59</v>
      </c>
      <c r="B24" s="18"/>
      <c r="C24" s="18"/>
      <c r="D24" s="18"/>
      <c r="E24" s="19"/>
    </row>
    <row r="25" spans="1:17" x14ac:dyDescent="0.35">
      <c r="A25" s="20" t="s">
        <v>29</v>
      </c>
      <c r="B25" s="2" t="s">
        <v>36</v>
      </c>
      <c r="C25" s="2" t="s">
        <v>42</v>
      </c>
      <c r="D25" s="2" t="s">
        <v>43</v>
      </c>
      <c r="E25" s="21" t="s">
        <v>44</v>
      </c>
    </row>
    <row r="26" spans="1:17" x14ac:dyDescent="0.35">
      <c r="A26" s="22" t="str" cm="1">
        <f t="array" ref="A26:A44">B4:B22</f>
        <v>WASHINGTON RD. (BUS24)</v>
      </c>
      <c r="B26" t="str" cm="1">
        <f t="array" ref="B26:B44">I4:I22</f>
        <v>Reduced Left-Turn Conflict Intersections</v>
      </c>
      <c r="C26" s="31" cm="1">
        <f t="array" ref="C26:C44">O4:O22</f>
        <v>350000</v>
      </c>
      <c r="D26" s="1" cm="1">
        <f t="array" ref="D26:D44">P4:P22</f>
        <v>4090623.5333333327</v>
      </c>
      <c r="E26" s="25" cm="1">
        <f t="array" ref="E26:E44">Q4:Q22</f>
        <v>11.687495809523808</v>
      </c>
    </row>
    <row r="27" spans="1:17" x14ac:dyDescent="0.35">
      <c r="A27" s="22" t="str">
        <v>BROADWAY RD</v>
      </c>
      <c r="B27">
        <v>0</v>
      </c>
      <c r="C27" t="e">
        <v>#N/A</v>
      </c>
      <c r="D27" t="e">
        <v>#N/A</v>
      </c>
      <c r="E27" s="32" t="e">
        <v>#N/A</v>
      </c>
    </row>
    <row r="28" spans="1:17" x14ac:dyDescent="0.35">
      <c r="A28" s="22" t="str">
        <v>PARKWAY DR</v>
      </c>
      <c r="B28">
        <v>0</v>
      </c>
      <c r="C28" t="e">
        <v>#N/A</v>
      </c>
      <c r="D28" t="e">
        <v>#N/A</v>
      </c>
      <c r="E28" s="32" t="e">
        <v>#N/A</v>
      </c>
    </row>
    <row r="29" spans="1:17" x14ac:dyDescent="0.35">
      <c r="A29" s="22" t="str">
        <v>MAIN St (US24/150)</v>
      </c>
      <c r="B29">
        <v>0</v>
      </c>
      <c r="C29" t="e">
        <v>#N/A</v>
      </c>
      <c r="D29" t="e">
        <v>#N/A</v>
      </c>
      <c r="E29" s="32" t="e">
        <v>#N/A</v>
      </c>
    </row>
    <row r="30" spans="1:17" x14ac:dyDescent="0.35">
      <c r="A30" s="22" t="str">
        <v>COURT ST</v>
      </c>
      <c r="B30">
        <v>0</v>
      </c>
      <c r="C30" t="e">
        <v>#N/A</v>
      </c>
      <c r="D30" t="e">
        <v>#N/A</v>
      </c>
      <c r="E30" s="32" t="e">
        <v>#N/A</v>
      </c>
    </row>
    <row r="31" spans="1:17" x14ac:dyDescent="0.35">
      <c r="A31" s="22" t="str">
        <v>MARGARET ST</v>
      </c>
      <c r="B31">
        <v>0</v>
      </c>
      <c r="C31" t="e">
        <v>#N/A</v>
      </c>
      <c r="D31" t="e">
        <v>#N/A</v>
      </c>
      <c r="E31" s="32" t="e">
        <v>#N/A</v>
      </c>
    </row>
    <row r="32" spans="1:17" x14ac:dyDescent="0.35">
      <c r="A32" s="22" t="str">
        <v>5TH ST/8th Street (IL29)</v>
      </c>
      <c r="B32">
        <v>0</v>
      </c>
      <c r="C32" t="e">
        <v>#N/A</v>
      </c>
      <c r="D32" t="e">
        <v>#N/A</v>
      </c>
      <c r="E32" s="32" t="e">
        <v>#N/A</v>
      </c>
    </row>
    <row r="33" spans="1:5" x14ac:dyDescent="0.35">
      <c r="A33" s="22" t="str">
        <v>ANN ELIZA</v>
      </c>
      <c r="B33">
        <v>0</v>
      </c>
      <c r="C33" t="e">
        <v>#N/A</v>
      </c>
      <c r="D33" t="e">
        <v>#N/A</v>
      </c>
      <c r="E33" s="32" t="e">
        <v>#N/A</v>
      </c>
    </row>
    <row r="34" spans="1:5" x14ac:dyDescent="0.35">
      <c r="A34" s="22" t="str">
        <v>SCHOOL ST</v>
      </c>
      <c r="B34">
        <v>0</v>
      </c>
      <c r="C34" t="e">
        <v>#N/A</v>
      </c>
      <c r="D34" t="e">
        <v>#N/A</v>
      </c>
      <c r="E34" s="32" t="e">
        <v>#N/A</v>
      </c>
    </row>
    <row r="35" spans="1:5" x14ac:dyDescent="0.35">
      <c r="A35" s="22" t="str">
        <v>14TH ST</v>
      </c>
      <c r="B35">
        <v>0</v>
      </c>
      <c r="C35" t="e">
        <v>#N/A</v>
      </c>
      <c r="D35" t="e">
        <v>#N/A</v>
      </c>
      <c r="E35" s="32" t="e">
        <v>#N/A</v>
      </c>
    </row>
    <row r="36" spans="1:5" x14ac:dyDescent="0.35">
      <c r="A36" s="22" t="str">
        <v>E WASHINGTON ST (IL8)</v>
      </c>
      <c r="B36">
        <v>0</v>
      </c>
      <c r="C36" t="e">
        <v>#N/A</v>
      </c>
      <c r="D36" t="e">
        <v>#N/A</v>
      </c>
      <c r="E36" s="32" t="e">
        <v>#N/A</v>
      </c>
    </row>
    <row r="37" spans="1:5" x14ac:dyDescent="0.35">
      <c r="A37" s="22" t="str">
        <v>8TH ST</v>
      </c>
      <c r="B37">
        <v>0</v>
      </c>
      <c r="C37" t="e">
        <v>#N/A</v>
      </c>
      <c r="D37" t="e">
        <v>#N/A</v>
      </c>
      <c r="E37" s="32" t="e">
        <v>#N/A</v>
      </c>
    </row>
    <row r="38" spans="1:5" x14ac:dyDescent="0.35">
      <c r="A38" s="22">
        <v>0</v>
      </c>
      <c r="B38">
        <v>0</v>
      </c>
      <c r="C38" t="e">
        <v>#N/A</v>
      </c>
      <c r="D38" t="e">
        <v>#N/A</v>
      </c>
      <c r="E38" s="32" t="e">
        <v>#N/A</v>
      </c>
    </row>
    <row r="39" spans="1:5" x14ac:dyDescent="0.35">
      <c r="A39" s="22">
        <v>0</v>
      </c>
      <c r="B39">
        <v>0</v>
      </c>
      <c r="C39" t="e">
        <v>#N/A</v>
      </c>
      <c r="D39" t="e">
        <v>#N/A</v>
      </c>
      <c r="E39" s="32" t="e">
        <v>#N/A</v>
      </c>
    </row>
    <row r="40" spans="1:5" x14ac:dyDescent="0.35">
      <c r="A40" s="22">
        <v>0</v>
      </c>
      <c r="B40">
        <v>0</v>
      </c>
      <c r="C40" t="e">
        <v>#N/A</v>
      </c>
      <c r="D40" t="e">
        <v>#N/A</v>
      </c>
      <c r="E40" s="32" t="e">
        <v>#N/A</v>
      </c>
    </row>
    <row r="41" spans="1:5" x14ac:dyDescent="0.35">
      <c r="A41" s="22">
        <v>0</v>
      </c>
      <c r="B41">
        <v>0</v>
      </c>
      <c r="C41" t="e">
        <v>#N/A</v>
      </c>
      <c r="D41" t="e">
        <v>#N/A</v>
      </c>
      <c r="E41" s="32" t="e">
        <v>#N/A</v>
      </c>
    </row>
    <row r="42" spans="1:5" x14ac:dyDescent="0.35">
      <c r="A42" s="22">
        <v>0</v>
      </c>
      <c r="B42">
        <v>0</v>
      </c>
      <c r="C42" t="e">
        <v>#N/A</v>
      </c>
      <c r="D42" t="e">
        <v>#N/A</v>
      </c>
      <c r="E42" s="32" t="e">
        <v>#N/A</v>
      </c>
    </row>
    <row r="43" spans="1:5" x14ac:dyDescent="0.35">
      <c r="A43" s="22">
        <v>0</v>
      </c>
      <c r="B43">
        <v>0</v>
      </c>
      <c r="C43" t="e">
        <v>#N/A</v>
      </c>
      <c r="D43" t="e">
        <v>#N/A</v>
      </c>
      <c r="E43" s="32" t="e">
        <v>#N/A</v>
      </c>
    </row>
    <row r="44" spans="1:5" ht="15" thickBot="1" x14ac:dyDescent="0.4">
      <c r="A44" s="26">
        <v>0</v>
      </c>
      <c r="B44" s="27">
        <v>0</v>
      </c>
      <c r="C44" s="27" t="e">
        <v>#N/A</v>
      </c>
      <c r="D44" s="27" t="e">
        <v>#N/A</v>
      </c>
      <c r="E44" s="33" t="e">
        <v>#N/A</v>
      </c>
    </row>
  </sheetData>
  <mergeCells count="2">
    <mergeCell ref="A1:B1"/>
    <mergeCell ref="A2:B2"/>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725B0865-28D1-450B-A16B-5FF1FFFC9EF8}">
          <x14:formula1>
            <xm:f>'Crash Data'!$H$18:$H$29</xm:f>
          </x14:formula1>
          <xm:sqref>B4:B22</xm:sqref>
        </x14:dataValidation>
        <x14:dataValidation type="list" allowBlank="1" showInputMessage="1" showErrorMessage="1" xr:uid="{3E77E2C7-3AFF-480F-9986-A0A6668D6673}">
          <x14:formula1>
            <xm:f>'Improvement Types'!$A$2:$A$30</xm:f>
          </x14:formula1>
          <xm:sqref>I4:I22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798B6-3340-432C-B69D-DEABAE951AB7}">
  <dimension ref="A1:Q44"/>
  <sheetViews>
    <sheetView workbookViewId="0">
      <selection activeCell="H36" sqref="H36"/>
    </sheetView>
  </sheetViews>
  <sheetFormatPr defaultRowHeight="14.5" x14ac:dyDescent="0.35"/>
  <cols>
    <col min="1" max="1" width="18.1796875" bestFit="1" customWidth="1"/>
    <col min="2" max="2" width="26.81640625" bestFit="1" customWidth="1"/>
    <col min="3" max="3" width="23" customWidth="1"/>
    <col min="4" max="4" width="14.81640625" customWidth="1"/>
    <col min="5" max="5" width="10.26953125" customWidth="1"/>
    <col min="6" max="6" width="10" customWidth="1"/>
    <col min="8" max="9" width="18.1796875" bestFit="1" customWidth="1"/>
    <col min="10" max="10" width="7" customWidth="1"/>
    <col min="12" max="12" width="9.453125" bestFit="1" customWidth="1"/>
    <col min="13" max="13" width="32.1796875" bestFit="1" customWidth="1"/>
    <col min="14" max="14" width="8" customWidth="1"/>
    <col min="15" max="15" width="12.7265625" bestFit="1" customWidth="1"/>
    <col min="16" max="16" width="15.54296875" bestFit="1" customWidth="1"/>
    <col min="17" max="17" width="14.81640625" bestFit="1" customWidth="1"/>
  </cols>
  <sheetData>
    <row r="1" spans="1:17" x14ac:dyDescent="0.35">
      <c r="A1" s="39" t="s">
        <v>72</v>
      </c>
      <c r="B1" s="39"/>
    </row>
    <row r="2" spans="1:17" x14ac:dyDescent="0.35">
      <c r="A2" s="40" t="s">
        <v>27</v>
      </c>
      <c r="B2" s="40"/>
      <c r="D2" s="5"/>
    </row>
    <row r="3" spans="1:17" x14ac:dyDescent="0.35">
      <c r="A3" s="2" t="s">
        <v>28</v>
      </c>
      <c r="B3" s="2" t="s">
        <v>29</v>
      </c>
      <c r="C3" s="2" t="s">
        <v>30</v>
      </c>
      <c r="D3" s="2" t="s">
        <v>31</v>
      </c>
      <c r="E3" s="2" t="s">
        <v>32</v>
      </c>
      <c r="F3" s="2" t="s">
        <v>33</v>
      </c>
      <c r="G3" s="2" t="s">
        <v>34</v>
      </c>
      <c r="H3" s="2" t="s">
        <v>35</v>
      </c>
      <c r="I3" s="2" t="s">
        <v>36</v>
      </c>
      <c r="J3" s="2" t="s">
        <v>37</v>
      </c>
      <c r="K3" s="2" t="s">
        <v>38</v>
      </c>
      <c r="L3" s="2" t="s">
        <v>39</v>
      </c>
      <c r="M3" s="2" t="s">
        <v>40</v>
      </c>
      <c r="N3" s="2" t="s">
        <v>41</v>
      </c>
      <c r="O3" s="2" t="s">
        <v>42</v>
      </c>
      <c r="P3" s="2" t="s">
        <v>43</v>
      </c>
      <c r="Q3" s="2" t="s">
        <v>44</v>
      </c>
    </row>
    <row r="4" spans="1:17" x14ac:dyDescent="0.35">
      <c r="A4" t="s">
        <v>85</v>
      </c>
      <c r="B4" s="6" t="s">
        <v>86</v>
      </c>
      <c r="C4" s="3">
        <f>VLOOKUP(B4, 'Crash Data'!$H$49:$N$61, 7, FALSE)</f>
        <v>6.5754123012026549</v>
      </c>
      <c r="D4">
        <f>VLOOKUP(B4, 'Crash Data'!$H$49:$N$61, 4, FALSE)</f>
        <v>10</v>
      </c>
      <c r="E4">
        <f>VLOOKUP(B4, 'Crash Data'!$H$49:$N$61, 5, FALSE)</f>
        <v>1</v>
      </c>
      <c r="F4">
        <f>D4-E4</f>
        <v>9</v>
      </c>
      <c r="G4">
        <f>E4/6</f>
        <v>0.16666666666666666</v>
      </c>
      <c r="H4">
        <f>F4/6</f>
        <v>1.5</v>
      </c>
      <c r="I4" s="6" t="s">
        <v>87</v>
      </c>
      <c r="J4">
        <f>VLOOKUP(I4, 'Improvement Types'!$A$2:$C$61, 2, FALSE)</f>
        <v>0.88</v>
      </c>
      <c r="K4">
        <f>1- J4</f>
        <v>0.12</v>
      </c>
      <c r="L4">
        <f>VLOOKUP(I4, 'Improvement Types'!$A$2:$C$61, 3, FALSE)</f>
        <v>79021.600000000006</v>
      </c>
      <c r="M4" t="str">
        <f>VLOOKUP(I4, 'Improvement Types'!$A$2:$D$61, 4, FALSE)</f>
        <v>Per implementation</v>
      </c>
      <c r="N4" s="6">
        <v>1</v>
      </c>
      <c r="O4" s="9">
        <f>N4*L4</f>
        <v>79021.600000000006</v>
      </c>
      <c r="P4" s="1">
        <f>(G4*'Crash Costs'!$B$1*K4 + H4*'Crash Costs'!$B$2*K4)*10</f>
        <v>2503798.5999999996</v>
      </c>
      <c r="Q4" s="3">
        <f>P4/O4</f>
        <v>31.684989926804818</v>
      </c>
    </row>
    <row r="5" spans="1:17" x14ac:dyDescent="0.35">
      <c r="A5" t="s">
        <v>85</v>
      </c>
      <c r="B5" s="6" t="s">
        <v>88</v>
      </c>
      <c r="C5" s="3">
        <f>VLOOKUP(B5, 'Crash Data'!$H$49:$N$61, 7, FALSE)</f>
        <v>3.2490692502941343</v>
      </c>
      <c r="D5">
        <f>VLOOKUP(B5, 'Crash Data'!$H$49:$N$61, 4, FALSE)</f>
        <v>3</v>
      </c>
      <c r="E5">
        <f>VLOOKUP(B5, 'Crash Data'!$H$49:$N$61, 5, FALSE)</f>
        <v>1</v>
      </c>
      <c r="F5">
        <f t="shared" ref="F5:F22" si="0">D5-E5</f>
        <v>2</v>
      </c>
      <c r="G5">
        <f t="shared" ref="G5:G22" si="1">E5/6</f>
        <v>0.16666666666666666</v>
      </c>
      <c r="H5">
        <f t="shared" ref="H5:H22" si="2">F5/6</f>
        <v>0.33333333333333331</v>
      </c>
      <c r="I5" s="6" t="s">
        <v>89</v>
      </c>
      <c r="J5">
        <f>VLOOKUP(I5, 'Improvement Types'!$A$2:$C$61, 2, FALSE)</f>
        <v>0.85</v>
      </c>
      <c r="K5">
        <f t="shared" ref="K5:K22" si="3">1- J5</f>
        <v>0.15000000000000002</v>
      </c>
      <c r="L5">
        <f>VLOOKUP(I5, 'Improvement Types'!$A$2:$C$61, 3, FALSE)</f>
        <v>1000</v>
      </c>
      <c r="M5" t="str">
        <f>VLOOKUP(I5, 'Improvement Types'!$A$2:$D$61, 4, FALSE)</f>
        <v>Per implementation</v>
      </c>
      <c r="N5" s="6">
        <v>5</v>
      </c>
      <c r="O5" s="9">
        <f t="shared" ref="O5:O22" si="4">N5*L5</f>
        <v>5000</v>
      </c>
      <c r="P5" s="1">
        <f>(G5*'Crash Costs'!$B$1*K5 + H5*'Crash Costs'!$B$2*K5)*10</f>
        <v>2334812.5000000005</v>
      </c>
      <c r="Q5" s="3">
        <f t="shared" ref="Q5:Q22" si="5">P5/O5</f>
        <v>466.96250000000009</v>
      </c>
    </row>
    <row r="6" spans="1:17" x14ac:dyDescent="0.35">
      <c r="A6" t="s">
        <v>85</v>
      </c>
      <c r="B6" s="6" t="s">
        <v>90</v>
      </c>
      <c r="C6" s="3">
        <f>VLOOKUP(B6, 'Crash Data'!$H$49:$N$61, 7, FALSE)</f>
        <v>0.63834809663330994</v>
      </c>
      <c r="D6">
        <f>VLOOKUP(B6, 'Crash Data'!$H$49:$N$61, 4, FALSE)</f>
        <v>0</v>
      </c>
      <c r="E6">
        <f>VLOOKUP(B6, 'Crash Data'!$H$49:$N$61, 5, FALSE)</f>
        <v>0</v>
      </c>
      <c r="F6">
        <f t="shared" si="0"/>
        <v>0</v>
      </c>
      <c r="G6">
        <f t="shared" si="1"/>
        <v>0</v>
      </c>
      <c r="H6">
        <f t="shared" si="2"/>
        <v>0</v>
      </c>
      <c r="I6" s="6"/>
      <c r="J6" t="e">
        <f>VLOOKUP(I6, 'Improvement Types'!$A$2:$C$61, 2, FALSE)</f>
        <v>#N/A</v>
      </c>
      <c r="K6" t="e">
        <f t="shared" si="3"/>
        <v>#N/A</v>
      </c>
      <c r="L6" t="e">
        <f>VLOOKUP(I6, 'Improvement Types'!$A$2:$C$61, 3, FALSE)</f>
        <v>#N/A</v>
      </c>
      <c r="M6" t="e">
        <f>VLOOKUP(I6, 'Improvement Types'!$A$2:$D$61, 4, FALSE)</f>
        <v>#N/A</v>
      </c>
      <c r="N6" s="6"/>
      <c r="O6" s="9" t="e">
        <f t="shared" si="4"/>
        <v>#N/A</v>
      </c>
      <c r="P6" s="1" t="e">
        <f>(G6*'Crash Costs'!$B$1*K6 + H6*'Crash Costs'!$B$2*K6)*10</f>
        <v>#N/A</v>
      </c>
      <c r="Q6" s="3" t="e">
        <f t="shared" si="5"/>
        <v>#N/A</v>
      </c>
    </row>
    <row r="7" spans="1:17" x14ac:dyDescent="0.35">
      <c r="A7" t="s">
        <v>85</v>
      </c>
      <c r="B7" s="6" t="s">
        <v>91</v>
      </c>
      <c r="C7" s="3">
        <f>VLOOKUP(B7, 'Crash Data'!$H$49:$N$61, 7, FALSE)</f>
        <v>3.4112137767559791</v>
      </c>
      <c r="D7">
        <f>VLOOKUP(B7, 'Crash Data'!$H$49:$N$61, 4, FALSE)</f>
        <v>8</v>
      </c>
      <c r="E7">
        <f>VLOOKUP(B7, 'Crash Data'!$H$49:$N$61, 5, FALSE)</f>
        <v>1</v>
      </c>
      <c r="F7">
        <f t="shared" si="0"/>
        <v>7</v>
      </c>
      <c r="G7">
        <f t="shared" si="1"/>
        <v>0.16666666666666666</v>
      </c>
      <c r="H7">
        <f t="shared" si="2"/>
        <v>1.1666666666666667</v>
      </c>
      <c r="I7" s="6"/>
      <c r="J7" t="e">
        <f>VLOOKUP(I7, 'Improvement Types'!$A$2:$C$61, 2, FALSE)</f>
        <v>#N/A</v>
      </c>
      <c r="K7" t="e">
        <f t="shared" si="3"/>
        <v>#N/A</v>
      </c>
      <c r="L7" t="e">
        <f>VLOOKUP(I7, 'Improvement Types'!$A$2:$C$61, 3, FALSE)</f>
        <v>#N/A</v>
      </c>
      <c r="M7" t="e">
        <f>VLOOKUP(I7, 'Improvement Types'!$A$2:$D$61, 4, FALSE)</f>
        <v>#N/A</v>
      </c>
      <c r="N7" s="6"/>
      <c r="O7" s="9" t="e">
        <f t="shared" si="4"/>
        <v>#N/A</v>
      </c>
      <c r="P7" s="1" t="e">
        <f>(G7*'Crash Costs'!$B$1*K7 + H7*'Crash Costs'!$B$2*K7)*10</f>
        <v>#N/A</v>
      </c>
      <c r="Q7" s="3" t="e">
        <f t="shared" si="5"/>
        <v>#N/A</v>
      </c>
    </row>
    <row r="8" spans="1:17" x14ac:dyDescent="0.35">
      <c r="A8" t="s">
        <v>85</v>
      </c>
      <c r="B8" s="6" t="s">
        <v>92</v>
      </c>
      <c r="C8" s="3">
        <f>VLOOKUP(B8, 'Crash Data'!$H$49:$N$61, 7, FALSE)</f>
        <v>2.5432947703315723</v>
      </c>
      <c r="D8">
        <f>VLOOKUP(B8, 'Crash Data'!$H$49:$N$61, 4, FALSE)</f>
        <v>2</v>
      </c>
      <c r="E8">
        <f>VLOOKUP(B8, 'Crash Data'!$H$49:$N$61, 5, FALSE)</f>
        <v>1</v>
      </c>
      <c r="F8">
        <f t="shared" si="0"/>
        <v>1</v>
      </c>
      <c r="G8">
        <f t="shared" si="1"/>
        <v>0.16666666666666666</v>
      </c>
      <c r="H8">
        <f t="shared" si="2"/>
        <v>0.16666666666666666</v>
      </c>
      <c r="I8" s="6"/>
      <c r="J8" t="e">
        <f>VLOOKUP(I8, 'Improvement Types'!$A$2:$C$61, 2, FALSE)</f>
        <v>#N/A</v>
      </c>
      <c r="K8" t="e">
        <f t="shared" si="3"/>
        <v>#N/A</v>
      </c>
      <c r="L8" t="e">
        <f>VLOOKUP(I8, 'Improvement Types'!$A$2:$C$61, 3, FALSE)</f>
        <v>#N/A</v>
      </c>
      <c r="M8" t="e">
        <f>VLOOKUP(I8, 'Improvement Types'!$A$2:$D$61, 4, FALSE)</f>
        <v>#N/A</v>
      </c>
      <c r="N8" s="6"/>
      <c r="O8" s="9" t="e">
        <f t="shared" si="4"/>
        <v>#N/A</v>
      </c>
      <c r="P8" s="1" t="e">
        <f>(G8*'Crash Costs'!$B$1*K8 + H8*'Crash Costs'!$B$2*K8)*10</f>
        <v>#N/A</v>
      </c>
      <c r="Q8" s="3" t="e">
        <f t="shared" si="5"/>
        <v>#N/A</v>
      </c>
    </row>
    <row r="9" spans="1:17" x14ac:dyDescent="0.35">
      <c r="A9" t="s">
        <v>85</v>
      </c>
      <c r="B9" s="6" t="s">
        <v>93</v>
      </c>
      <c r="C9" s="3">
        <f>VLOOKUP(B9, 'Crash Data'!$H$49:$N$61, 7, FALSE)</f>
        <v>1.0000286322457714</v>
      </c>
      <c r="D9">
        <f>VLOOKUP(B9, 'Crash Data'!$H$49:$N$61, 4, FALSE)</f>
        <v>5</v>
      </c>
      <c r="E9">
        <f>VLOOKUP(B9, 'Crash Data'!$H$49:$N$61, 5, FALSE)</f>
        <v>2</v>
      </c>
      <c r="F9">
        <f t="shared" si="0"/>
        <v>3</v>
      </c>
      <c r="G9">
        <f t="shared" si="1"/>
        <v>0.33333333333333331</v>
      </c>
      <c r="H9">
        <f t="shared" si="2"/>
        <v>0.5</v>
      </c>
      <c r="I9" s="6"/>
      <c r="J9" t="e">
        <f>VLOOKUP(I9, 'Improvement Types'!$A$2:$C$61, 2, FALSE)</f>
        <v>#N/A</v>
      </c>
      <c r="K9" t="e">
        <f t="shared" si="3"/>
        <v>#N/A</v>
      </c>
      <c r="L9" t="e">
        <f>VLOOKUP(I9, 'Improvement Types'!$A$2:$C$61, 3, FALSE)</f>
        <v>#N/A</v>
      </c>
      <c r="M9" t="e">
        <f>VLOOKUP(I9, 'Improvement Types'!$A$2:$D$61, 4, FALSE)</f>
        <v>#N/A</v>
      </c>
      <c r="N9" s="6"/>
      <c r="O9" s="9" t="e">
        <f t="shared" si="4"/>
        <v>#N/A</v>
      </c>
      <c r="P9" s="1" t="e">
        <f>(G9*'Crash Costs'!$B$1*K9 + H9*'Crash Costs'!$B$2*K9)*10</f>
        <v>#N/A</v>
      </c>
      <c r="Q9" s="3" t="e">
        <f t="shared" si="5"/>
        <v>#N/A</v>
      </c>
    </row>
    <row r="10" spans="1:17" x14ac:dyDescent="0.35">
      <c r="A10" t="s">
        <v>85</v>
      </c>
      <c r="B10" s="6" t="s">
        <v>94</v>
      </c>
      <c r="C10" s="3">
        <f>VLOOKUP(B10, 'Crash Data'!$H$49:$N$61, 7, FALSE)</f>
        <v>2.0041666989239526</v>
      </c>
      <c r="D10">
        <f>VLOOKUP(B10, 'Crash Data'!$H$49:$N$61, 4, FALSE)</f>
        <v>4</v>
      </c>
      <c r="E10">
        <f>VLOOKUP(B10, 'Crash Data'!$H$49:$N$61, 5, FALSE)</f>
        <v>1</v>
      </c>
      <c r="F10">
        <f t="shared" si="0"/>
        <v>3</v>
      </c>
      <c r="G10">
        <f t="shared" si="1"/>
        <v>0.16666666666666666</v>
      </c>
      <c r="H10">
        <f t="shared" si="2"/>
        <v>0.5</v>
      </c>
      <c r="I10" s="6"/>
      <c r="J10" t="e">
        <f>VLOOKUP(I10, 'Improvement Types'!$A$2:$C$61, 2, FALSE)</f>
        <v>#N/A</v>
      </c>
      <c r="K10" t="e">
        <f t="shared" si="3"/>
        <v>#N/A</v>
      </c>
      <c r="L10" t="e">
        <f>VLOOKUP(I10, 'Improvement Types'!$A$2:$C$61, 3, FALSE)</f>
        <v>#N/A</v>
      </c>
      <c r="M10" t="e">
        <f>VLOOKUP(I10, 'Improvement Types'!$A$2:$D$61, 4, FALSE)</f>
        <v>#N/A</v>
      </c>
      <c r="N10" s="6"/>
      <c r="O10" s="9" t="e">
        <f t="shared" si="4"/>
        <v>#N/A</v>
      </c>
      <c r="P10" s="1" t="e">
        <f>(G10*'Crash Costs'!$B$1*K10 + H10*'Crash Costs'!$B$2*K10)*10</f>
        <v>#N/A</v>
      </c>
      <c r="Q10" s="3" t="e">
        <f t="shared" si="5"/>
        <v>#N/A</v>
      </c>
    </row>
    <row r="11" spans="1:17" x14ac:dyDescent="0.35">
      <c r="A11" t="s">
        <v>85</v>
      </c>
      <c r="B11" s="6" t="s">
        <v>95</v>
      </c>
      <c r="C11" s="3">
        <f>VLOOKUP(B11, 'Crash Data'!$H$49:$N$61, 7, FALSE)</f>
        <v>5.8727562607009814E-2</v>
      </c>
      <c r="D11">
        <f>VLOOKUP(B11, 'Crash Data'!$H$49:$N$61, 4, FALSE)</f>
        <v>1</v>
      </c>
      <c r="E11">
        <f>VLOOKUP(B11, 'Crash Data'!$H$49:$N$61, 5, FALSE)</f>
        <v>0</v>
      </c>
      <c r="F11">
        <f t="shared" si="0"/>
        <v>1</v>
      </c>
      <c r="G11">
        <f t="shared" si="1"/>
        <v>0</v>
      </c>
      <c r="H11">
        <f t="shared" si="2"/>
        <v>0.16666666666666666</v>
      </c>
      <c r="I11" s="6"/>
      <c r="J11" t="e">
        <f>VLOOKUP(I11, 'Improvement Types'!$A$2:$C$61, 2, FALSE)</f>
        <v>#N/A</v>
      </c>
      <c r="K11" t="e">
        <f t="shared" si="3"/>
        <v>#N/A</v>
      </c>
      <c r="L11" t="e">
        <f>VLOOKUP(I11, 'Improvement Types'!$A$2:$C$61, 3, FALSE)</f>
        <v>#N/A</v>
      </c>
      <c r="M11" t="e">
        <f>VLOOKUP(I11, 'Improvement Types'!$A$2:$D$61, 4, FALSE)</f>
        <v>#N/A</v>
      </c>
      <c r="N11" s="6"/>
      <c r="O11" s="9" t="e">
        <f t="shared" si="4"/>
        <v>#N/A</v>
      </c>
      <c r="P11" s="1" t="e">
        <f>(G11*'Crash Costs'!$B$1*K11 + H11*'Crash Costs'!$B$2*K11)*10</f>
        <v>#N/A</v>
      </c>
      <c r="Q11" s="3" t="e">
        <f t="shared" si="5"/>
        <v>#N/A</v>
      </c>
    </row>
    <row r="12" spans="1:17" x14ac:dyDescent="0.35">
      <c r="A12" t="s">
        <v>85</v>
      </c>
      <c r="B12" s="6" t="s">
        <v>96</v>
      </c>
      <c r="C12" s="3">
        <f>VLOOKUP(B12, 'Crash Data'!$H$49:$N$61, 7, FALSE)</f>
        <v>1.7470038692289673</v>
      </c>
      <c r="D12">
        <f>VLOOKUP(B12, 'Crash Data'!$H$49:$N$61, 4, FALSE)</f>
        <v>1</v>
      </c>
      <c r="E12">
        <f>VLOOKUP(B12, 'Crash Data'!$H$49:$N$61, 5, FALSE)</f>
        <v>1</v>
      </c>
      <c r="F12">
        <f t="shared" si="0"/>
        <v>0</v>
      </c>
      <c r="G12">
        <f t="shared" si="1"/>
        <v>0.16666666666666666</v>
      </c>
      <c r="H12">
        <f t="shared" si="2"/>
        <v>0</v>
      </c>
      <c r="I12" s="6"/>
      <c r="J12" t="e">
        <f>VLOOKUP(I12, 'Improvement Types'!$A$2:$C$61, 2, FALSE)</f>
        <v>#N/A</v>
      </c>
      <c r="K12" t="e">
        <f t="shared" si="3"/>
        <v>#N/A</v>
      </c>
      <c r="L12" t="e">
        <f>VLOOKUP(I12, 'Improvement Types'!$A$2:$C$61, 3, FALSE)</f>
        <v>#N/A</v>
      </c>
      <c r="M12" t="e">
        <f>VLOOKUP(I12, 'Improvement Types'!$A$2:$D$61, 4, FALSE)</f>
        <v>#N/A</v>
      </c>
      <c r="N12" s="6"/>
      <c r="O12" s="9" t="e">
        <f t="shared" si="4"/>
        <v>#N/A</v>
      </c>
      <c r="P12" s="1" t="e">
        <f>(G12*'Crash Costs'!$B$1*K12 + H12*'Crash Costs'!$B$2*K12)*10</f>
        <v>#N/A</v>
      </c>
      <c r="Q12" s="3" t="e">
        <f t="shared" si="5"/>
        <v>#N/A</v>
      </c>
    </row>
    <row r="13" spans="1:17" x14ac:dyDescent="0.35">
      <c r="A13" t="s">
        <v>85</v>
      </c>
      <c r="B13" s="6" t="s">
        <v>97</v>
      </c>
      <c r="C13" s="3">
        <f>VLOOKUP(B13, 'Crash Data'!$H$49:$N$61, 7, FALSE)</f>
        <v>4.5036731161732009</v>
      </c>
      <c r="D13">
        <f>VLOOKUP(B13, 'Crash Data'!$H$49:$N$61, 4, FALSE)</f>
        <v>7</v>
      </c>
      <c r="E13">
        <f>VLOOKUP(B13, 'Crash Data'!$H$49:$N$61, 5, FALSE)</f>
        <v>1</v>
      </c>
      <c r="F13">
        <f t="shared" si="0"/>
        <v>6</v>
      </c>
      <c r="G13">
        <f t="shared" si="1"/>
        <v>0.16666666666666666</v>
      </c>
      <c r="H13">
        <f t="shared" si="2"/>
        <v>1</v>
      </c>
      <c r="I13" s="6" t="s">
        <v>49</v>
      </c>
      <c r="J13">
        <f>VLOOKUP(I13, 'Improvement Types'!$A$2:$C$61, 2, FALSE)</f>
        <v>0.52</v>
      </c>
      <c r="K13">
        <f t="shared" si="3"/>
        <v>0.48</v>
      </c>
      <c r="L13">
        <f>VLOOKUP(I13, 'Improvement Types'!$A$2:$C$61, 3, FALSE)</f>
        <v>100000</v>
      </c>
      <c r="M13" t="str">
        <f>VLOOKUP(I13, 'Improvement Types'!$A$2:$D$61, 4, FALSE)</f>
        <v>Per intersection or implementation</v>
      </c>
      <c r="N13" s="6">
        <v>10</v>
      </c>
      <c r="O13" s="9">
        <f t="shared" si="4"/>
        <v>1000000</v>
      </c>
      <c r="P13" s="1">
        <f>(G13*'Crash Costs'!$B$1*K13 + H13*'Crash Costs'!$B$2*K13)*10</f>
        <v>8924996.7999999989</v>
      </c>
      <c r="Q13" s="3">
        <f t="shared" si="5"/>
        <v>8.9249967999999988</v>
      </c>
    </row>
    <row r="14" spans="1:17" x14ac:dyDescent="0.35">
      <c r="A14" t="s">
        <v>85</v>
      </c>
      <c r="B14" s="6" t="s">
        <v>98</v>
      </c>
      <c r="C14" s="3">
        <f>VLOOKUP(B14, 'Crash Data'!$H$49:$N$61, 7, FALSE)</f>
        <v>6.5738159244856181E-2</v>
      </c>
      <c r="D14">
        <f>VLOOKUP(B14, 'Crash Data'!$H$49:$N$61, 4, FALSE)</f>
        <v>2</v>
      </c>
      <c r="E14">
        <f>VLOOKUP(B14, 'Crash Data'!$H$49:$N$61, 5, FALSE)</f>
        <v>0</v>
      </c>
      <c r="F14">
        <f t="shared" si="0"/>
        <v>2</v>
      </c>
      <c r="G14">
        <f t="shared" si="1"/>
        <v>0</v>
      </c>
      <c r="H14">
        <f t="shared" si="2"/>
        <v>0.33333333333333331</v>
      </c>
      <c r="I14" s="6"/>
      <c r="J14" t="e">
        <f>VLOOKUP(I14, 'Improvement Types'!$A$2:$C$61, 2, FALSE)</f>
        <v>#N/A</v>
      </c>
      <c r="K14" t="e">
        <f t="shared" si="3"/>
        <v>#N/A</v>
      </c>
      <c r="L14" t="e">
        <f>VLOOKUP(I14, 'Improvement Types'!$A$2:$C$61, 3, FALSE)</f>
        <v>#N/A</v>
      </c>
      <c r="M14" t="e">
        <f>VLOOKUP(I14, 'Improvement Types'!$A$2:$D$61, 4, FALSE)</f>
        <v>#N/A</v>
      </c>
      <c r="N14" s="6"/>
      <c r="O14" s="9" t="e">
        <f t="shared" si="4"/>
        <v>#N/A</v>
      </c>
      <c r="P14" s="1" t="e">
        <f>(G14*'Crash Costs'!$B$1*K14 + H14*'Crash Costs'!$B$2*K14)*10</f>
        <v>#N/A</v>
      </c>
      <c r="Q14" s="3" t="e">
        <f t="shared" si="5"/>
        <v>#N/A</v>
      </c>
    </row>
    <row r="15" spans="1:17" x14ac:dyDescent="0.35">
      <c r="A15" t="s">
        <v>85</v>
      </c>
      <c r="B15" s="6" t="s">
        <v>99</v>
      </c>
      <c r="C15" s="3">
        <f>VLOOKUP(B15, 'Crash Data'!$H$49:$N$61, 7, FALSE)</f>
        <v>1.0473057322734161</v>
      </c>
      <c r="D15">
        <f>VLOOKUP(B15, 'Crash Data'!$H$49:$N$61, 4, FALSE)</f>
        <v>1</v>
      </c>
      <c r="E15">
        <f>VLOOKUP(B15, 'Crash Data'!$H$49:$N$61, 5, FALSE)</f>
        <v>1</v>
      </c>
      <c r="F15">
        <f t="shared" si="0"/>
        <v>0</v>
      </c>
      <c r="G15">
        <f t="shared" si="1"/>
        <v>0.16666666666666666</v>
      </c>
      <c r="H15">
        <f t="shared" si="2"/>
        <v>0</v>
      </c>
      <c r="I15" s="6"/>
      <c r="J15" t="e">
        <f>VLOOKUP(I15, 'Improvement Types'!$A$2:$C$61, 2, FALSE)</f>
        <v>#N/A</v>
      </c>
      <c r="K15" t="e">
        <f t="shared" si="3"/>
        <v>#N/A</v>
      </c>
      <c r="L15" t="e">
        <f>VLOOKUP(I15, 'Improvement Types'!$A$2:$C$61, 3, FALSE)</f>
        <v>#N/A</v>
      </c>
      <c r="M15" t="e">
        <f>VLOOKUP(I15, 'Improvement Types'!$A$2:$D$61, 4, FALSE)</f>
        <v>#N/A</v>
      </c>
      <c r="N15" s="6"/>
      <c r="O15" s="9" t="e">
        <f t="shared" si="4"/>
        <v>#N/A</v>
      </c>
      <c r="P15" s="1" t="e">
        <f>(G15*'Crash Costs'!$B$1*K15 + H15*'Crash Costs'!$B$2*K15)*10</f>
        <v>#N/A</v>
      </c>
      <c r="Q15" s="3" t="e">
        <f t="shared" si="5"/>
        <v>#N/A</v>
      </c>
    </row>
    <row r="16" spans="1:17" x14ac:dyDescent="0.35">
      <c r="A16" t="s">
        <v>85</v>
      </c>
      <c r="B16" s="6" t="s">
        <v>100</v>
      </c>
      <c r="C16" s="3">
        <f>VLOOKUP(B16, 'Crash Data'!$H$49:$N$61, 7, FALSE)</f>
        <v>3.0252626040563753</v>
      </c>
      <c r="D16">
        <f>VLOOKUP(B16, 'Crash Data'!$H$49:$N$61, 4, FALSE)</f>
        <v>1</v>
      </c>
      <c r="E16">
        <f>VLOOKUP(B16, 'Crash Data'!$H$49:$N$61, 5, FALSE)</f>
        <v>1</v>
      </c>
      <c r="F16">
        <f t="shared" si="0"/>
        <v>0</v>
      </c>
      <c r="G16">
        <f t="shared" si="1"/>
        <v>0.16666666666666666</v>
      </c>
      <c r="H16">
        <f t="shared" si="2"/>
        <v>0</v>
      </c>
      <c r="I16" s="6"/>
      <c r="J16" t="e">
        <f>VLOOKUP(I16, 'Improvement Types'!$A$2:$C$61, 2, FALSE)</f>
        <v>#N/A</v>
      </c>
      <c r="K16" t="e">
        <f t="shared" si="3"/>
        <v>#N/A</v>
      </c>
      <c r="L16" t="e">
        <f>VLOOKUP(I16, 'Improvement Types'!$A$2:$C$61, 3, FALSE)</f>
        <v>#N/A</v>
      </c>
      <c r="M16" t="e">
        <f>VLOOKUP(I16, 'Improvement Types'!$A$2:$D$61, 4, FALSE)</f>
        <v>#N/A</v>
      </c>
      <c r="N16" s="6"/>
      <c r="O16" s="9" t="e">
        <f t="shared" si="4"/>
        <v>#N/A</v>
      </c>
      <c r="P16" s="1" t="e">
        <f>(G16*'Crash Costs'!$B$1*K16 + H16*'Crash Costs'!$B$2*K16)*10</f>
        <v>#N/A</v>
      </c>
      <c r="Q16" s="3" t="e">
        <f t="shared" si="5"/>
        <v>#N/A</v>
      </c>
    </row>
    <row r="17" spans="1:17" x14ac:dyDescent="0.35">
      <c r="A17" t="s">
        <v>85</v>
      </c>
      <c r="B17" s="6"/>
      <c r="C17" t="e">
        <f>VLOOKUP(B17, 'Crash Data'!$H$49:$N$61, 7, FALSE)</f>
        <v>#N/A</v>
      </c>
      <c r="D17" t="e">
        <f>VLOOKUP(B17, 'Crash Data'!$H$49:$N$61, 4, FALSE)</f>
        <v>#N/A</v>
      </c>
      <c r="E17" t="e">
        <f>VLOOKUP(B17, 'Crash Data'!$H$49:$N$61, 5, FALSE)</f>
        <v>#N/A</v>
      </c>
      <c r="F17" t="e">
        <f t="shared" si="0"/>
        <v>#N/A</v>
      </c>
      <c r="G17" t="e">
        <f t="shared" si="1"/>
        <v>#N/A</v>
      </c>
      <c r="H17" t="e">
        <f t="shared" si="2"/>
        <v>#N/A</v>
      </c>
      <c r="I17" s="6"/>
      <c r="J17" t="e">
        <f>VLOOKUP(I17, 'Improvement Types'!$A$2:$C$61, 2, FALSE)</f>
        <v>#N/A</v>
      </c>
      <c r="K17" t="e">
        <f t="shared" si="3"/>
        <v>#N/A</v>
      </c>
      <c r="L17" t="e">
        <f>VLOOKUP(I17, 'Improvement Types'!$A$2:$C$61, 3, FALSE)</f>
        <v>#N/A</v>
      </c>
      <c r="M17" t="e">
        <f>VLOOKUP(I17, 'Improvement Types'!$A$2:$D$61, 4, FALSE)</f>
        <v>#N/A</v>
      </c>
      <c r="N17" s="6"/>
      <c r="O17" s="9" t="e">
        <f t="shared" si="4"/>
        <v>#N/A</v>
      </c>
      <c r="P17" s="1" t="e">
        <f>(G17*'Crash Costs'!$B$1*K17 + H17*'Crash Costs'!$B$2*K17)*10</f>
        <v>#N/A</v>
      </c>
      <c r="Q17" s="3" t="e">
        <f t="shared" si="5"/>
        <v>#N/A</v>
      </c>
    </row>
    <row r="18" spans="1:17" x14ac:dyDescent="0.35">
      <c r="A18" t="s">
        <v>85</v>
      </c>
      <c r="B18" s="6"/>
      <c r="C18" t="e">
        <f>VLOOKUP(B18, 'Crash Data'!$H$49:$N$61, 7, FALSE)</f>
        <v>#N/A</v>
      </c>
      <c r="D18" t="e">
        <f>VLOOKUP(B18, 'Crash Data'!$H$49:$N$61, 4, FALSE)</f>
        <v>#N/A</v>
      </c>
      <c r="E18" t="e">
        <f>VLOOKUP(B18, 'Crash Data'!$H$49:$N$61, 5, FALSE)</f>
        <v>#N/A</v>
      </c>
      <c r="F18" t="e">
        <f t="shared" si="0"/>
        <v>#N/A</v>
      </c>
      <c r="G18" t="e">
        <f t="shared" si="1"/>
        <v>#N/A</v>
      </c>
      <c r="H18" t="e">
        <f t="shared" si="2"/>
        <v>#N/A</v>
      </c>
      <c r="I18" s="6"/>
      <c r="J18" t="e">
        <f>VLOOKUP(I18, 'Improvement Types'!$A$2:$C$61, 2, FALSE)</f>
        <v>#N/A</v>
      </c>
      <c r="K18" t="e">
        <f t="shared" si="3"/>
        <v>#N/A</v>
      </c>
      <c r="L18" t="e">
        <f>VLOOKUP(I18, 'Improvement Types'!$A$2:$C$61, 3, FALSE)</f>
        <v>#N/A</v>
      </c>
      <c r="M18" t="e">
        <f>VLOOKUP(I18, 'Improvement Types'!$A$2:$D$61, 4, FALSE)</f>
        <v>#N/A</v>
      </c>
      <c r="N18" s="6"/>
      <c r="O18" s="9" t="e">
        <f t="shared" si="4"/>
        <v>#N/A</v>
      </c>
      <c r="P18" s="1" t="e">
        <f>(G18*'Crash Costs'!$B$1*K18 + H18*'Crash Costs'!$B$2*K18)*10</f>
        <v>#N/A</v>
      </c>
      <c r="Q18" s="3" t="e">
        <f t="shared" si="5"/>
        <v>#N/A</v>
      </c>
    </row>
    <row r="19" spans="1:17" x14ac:dyDescent="0.35">
      <c r="A19" t="s">
        <v>85</v>
      </c>
      <c r="B19" s="6"/>
      <c r="C19" t="e">
        <f>VLOOKUP(B19, 'Crash Data'!$H$49:$N$61, 7, FALSE)</f>
        <v>#N/A</v>
      </c>
      <c r="D19" t="e">
        <f>VLOOKUP(B19, 'Crash Data'!$H$49:$N$61, 4, FALSE)</f>
        <v>#N/A</v>
      </c>
      <c r="E19" t="e">
        <f>VLOOKUP(B19, 'Crash Data'!$H$49:$N$61, 5, FALSE)</f>
        <v>#N/A</v>
      </c>
      <c r="F19" t="e">
        <f t="shared" si="0"/>
        <v>#N/A</v>
      </c>
      <c r="G19" t="e">
        <f t="shared" si="1"/>
        <v>#N/A</v>
      </c>
      <c r="H19" t="e">
        <f t="shared" si="2"/>
        <v>#N/A</v>
      </c>
      <c r="I19" s="6"/>
      <c r="J19" t="e">
        <f>VLOOKUP(I19, 'Improvement Types'!$A$2:$C$61, 2, FALSE)</f>
        <v>#N/A</v>
      </c>
      <c r="K19" t="e">
        <f t="shared" si="3"/>
        <v>#N/A</v>
      </c>
      <c r="L19" t="e">
        <f>VLOOKUP(I19, 'Improvement Types'!$A$2:$C$61, 3, FALSE)</f>
        <v>#N/A</v>
      </c>
      <c r="M19" t="e">
        <f>VLOOKUP(I19, 'Improvement Types'!$A$2:$D$61, 4, FALSE)</f>
        <v>#N/A</v>
      </c>
      <c r="N19" s="6"/>
      <c r="O19" s="9" t="e">
        <f t="shared" si="4"/>
        <v>#N/A</v>
      </c>
      <c r="P19" s="1" t="e">
        <f>(G19*'Crash Costs'!$B$1*K19 + H19*'Crash Costs'!$B$2*K19)*10</f>
        <v>#N/A</v>
      </c>
      <c r="Q19" s="3" t="e">
        <f t="shared" si="5"/>
        <v>#N/A</v>
      </c>
    </row>
    <row r="20" spans="1:17" x14ac:dyDescent="0.35">
      <c r="A20" t="s">
        <v>85</v>
      </c>
      <c r="B20" s="6"/>
      <c r="C20" t="e">
        <f>VLOOKUP(B20, 'Crash Data'!$H$49:$N$61, 7, FALSE)</f>
        <v>#N/A</v>
      </c>
      <c r="D20" t="e">
        <f>VLOOKUP(B20, 'Crash Data'!$H$49:$N$61, 4, FALSE)</f>
        <v>#N/A</v>
      </c>
      <c r="E20" t="e">
        <f>VLOOKUP(B20, 'Crash Data'!$H$49:$N$61, 5, FALSE)</f>
        <v>#N/A</v>
      </c>
      <c r="F20" t="e">
        <f t="shared" si="0"/>
        <v>#N/A</v>
      </c>
      <c r="G20" t="e">
        <f t="shared" si="1"/>
        <v>#N/A</v>
      </c>
      <c r="H20" t="e">
        <f t="shared" si="2"/>
        <v>#N/A</v>
      </c>
      <c r="I20" s="6"/>
      <c r="J20" t="e">
        <f>VLOOKUP(I20, 'Improvement Types'!$A$2:$C$61, 2, FALSE)</f>
        <v>#N/A</v>
      </c>
      <c r="K20" t="e">
        <f t="shared" si="3"/>
        <v>#N/A</v>
      </c>
      <c r="L20" t="e">
        <f>VLOOKUP(I20, 'Improvement Types'!$A$2:$C$61, 3, FALSE)</f>
        <v>#N/A</v>
      </c>
      <c r="M20" t="e">
        <f>VLOOKUP(I20, 'Improvement Types'!$A$2:$D$61, 4, FALSE)</f>
        <v>#N/A</v>
      </c>
      <c r="N20" s="6"/>
      <c r="O20" s="9" t="e">
        <f t="shared" si="4"/>
        <v>#N/A</v>
      </c>
      <c r="P20" s="1" t="e">
        <f>(G20*'Crash Costs'!$B$1*K20 + H20*'Crash Costs'!$B$2*K20)*10</f>
        <v>#N/A</v>
      </c>
      <c r="Q20" s="3" t="e">
        <f t="shared" si="5"/>
        <v>#N/A</v>
      </c>
    </row>
    <row r="21" spans="1:17" x14ac:dyDescent="0.35">
      <c r="A21" t="s">
        <v>85</v>
      </c>
      <c r="B21" s="6"/>
      <c r="C21" t="e">
        <f>VLOOKUP(B21, 'Crash Data'!$H$49:$N$61, 7, FALSE)</f>
        <v>#N/A</v>
      </c>
      <c r="D21" t="e">
        <f>VLOOKUP(B21, 'Crash Data'!$H$49:$N$61, 4, FALSE)</f>
        <v>#N/A</v>
      </c>
      <c r="E21" t="e">
        <f>VLOOKUP(B21, 'Crash Data'!$H$49:$N$61, 5, FALSE)</f>
        <v>#N/A</v>
      </c>
      <c r="F21" t="e">
        <f t="shared" si="0"/>
        <v>#N/A</v>
      </c>
      <c r="G21" t="e">
        <f t="shared" si="1"/>
        <v>#N/A</v>
      </c>
      <c r="H21" t="e">
        <f t="shared" si="2"/>
        <v>#N/A</v>
      </c>
      <c r="I21" s="6"/>
      <c r="J21" t="e">
        <f>VLOOKUP(I21, 'Improvement Types'!$A$2:$C$61, 2, FALSE)</f>
        <v>#N/A</v>
      </c>
      <c r="K21" t="e">
        <f t="shared" si="3"/>
        <v>#N/A</v>
      </c>
      <c r="L21" t="e">
        <f>VLOOKUP(I21, 'Improvement Types'!$A$2:$C$61, 3, FALSE)</f>
        <v>#N/A</v>
      </c>
      <c r="M21" t="e">
        <f>VLOOKUP(I21, 'Improvement Types'!$A$2:$D$61, 4, FALSE)</f>
        <v>#N/A</v>
      </c>
      <c r="N21" s="6"/>
      <c r="O21" s="9" t="e">
        <f t="shared" si="4"/>
        <v>#N/A</v>
      </c>
      <c r="P21" s="1" t="e">
        <f>(G21*'Crash Costs'!$B$1*K21 + H21*'Crash Costs'!$B$2*K21)*10</f>
        <v>#N/A</v>
      </c>
      <c r="Q21" s="3" t="e">
        <f t="shared" si="5"/>
        <v>#N/A</v>
      </c>
    </row>
    <row r="22" spans="1:17" x14ac:dyDescent="0.35">
      <c r="A22" t="s">
        <v>85</v>
      </c>
      <c r="B22" s="6"/>
      <c r="C22" t="e">
        <f>VLOOKUP(B22, 'Crash Data'!$H$49:$N$61, 7, FALSE)</f>
        <v>#N/A</v>
      </c>
      <c r="D22" t="e">
        <f>VLOOKUP(B22, 'Crash Data'!$H$49:$N$61, 4, FALSE)</f>
        <v>#N/A</v>
      </c>
      <c r="E22" t="e">
        <f>VLOOKUP(B22, 'Crash Data'!$H$49:$N$61, 5, FALSE)</f>
        <v>#N/A</v>
      </c>
      <c r="F22" t="e">
        <f t="shared" si="0"/>
        <v>#N/A</v>
      </c>
      <c r="G22" t="e">
        <f t="shared" si="1"/>
        <v>#N/A</v>
      </c>
      <c r="H22" t="e">
        <f t="shared" si="2"/>
        <v>#N/A</v>
      </c>
      <c r="I22" s="6"/>
      <c r="J22" t="e">
        <f>VLOOKUP(I22, 'Improvement Types'!$A$2:$C$61, 2, FALSE)</f>
        <v>#N/A</v>
      </c>
      <c r="K22" t="e">
        <f t="shared" si="3"/>
        <v>#N/A</v>
      </c>
      <c r="L22" t="e">
        <f>VLOOKUP(I22, 'Improvement Types'!$A$2:$C$61, 3, FALSE)</f>
        <v>#N/A</v>
      </c>
      <c r="M22" t="e">
        <f>VLOOKUP(I22, 'Improvement Types'!$A$2:$D$61, 4, FALSE)</f>
        <v>#N/A</v>
      </c>
      <c r="N22" s="6"/>
      <c r="O22" s="9" t="e">
        <f t="shared" si="4"/>
        <v>#N/A</v>
      </c>
      <c r="P22" s="1" t="e">
        <f>(G22*'Crash Costs'!$B$1*K22 + H22*'Crash Costs'!$B$2*K22)*10</f>
        <v>#N/A</v>
      </c>
      <c r="Q22" s="3" t="e">
        <f t="shared" si="5"/>
        <v>#N/A</v>
      </c>
    </row>
    <row r="23" spans="1:17" ht="15" thickBot="1" x14ac:dyDescent="0.4"/>
    <row r="24" spans="1:17" x14ac:dyDescent="0.35">
      <c r="A24" s="17" t="s">
        <v>59</v>
      </c>
      <c r="B24" s="18"/>
      <c r="C24" s="18"/>
      <c r="D24" s="18"/>
      <c r="E24" s="19"/>
    </row>
    <row r="25" spans="1:17" x14ac:dyDescent="0.35">
      <c r="A25" s="20" t="s">
        <v>29</v>
      </c>
      <c r="B25" s="2" t="s">
        <v>36</v>
      </c>
      <c r="C25" s="2" t="s">
        <v>42</v>
      </c>
      <c r="D25" s="2" t="s">
        <v>43</v>
      </c>
      <c r="E25" s="21" t="s">
        <v>44</v>
      </c>
    </row>
    <row r="26" spans="1:17" x14ac:dyDescent="0.35">
      <c r="A26" s="22" t="str" cm="1">
        <f t="array" ref="A26:A44">B4:B22</f>
        <v>MAIN ST (IL117)</v>
      </c>
      <c r="B26" t="str" cm="1">
        <f t="array" ref="B26:B44">I4:I22</f>
        <v>Pedestrian Hybrid Beacon</v>
      </c>
      <c r="C26" s="31" cm="1">
        <f t="array" ref="C26:C44">O4:O22</f>
        <v>79021.600000000006</v>
      </c>
      <c r="D26" s="1" cm="1">
        <f t="array" ref="D26:D44">P4:P22</f>
        <v>2503798.5999999996</v>
      </c>
      <c r="E26" s="25" cm="1">
        <f t="array" ref="E26:E44">Q4:Q22</f>
        <v>31.684989926804818</v>
      </c>
    </row>
    <row r="27" spans="1:17" x14ac:dyDescent="0.35">
      <c r="A27" s="22" t="str">
        <v>CENTER ST (US24)</v>
      </c>
      <c r="B27" t="str">
        <v>Signage</v>
      </c>
      <c r="C27">
        <v>5000</v>
      </c>
      <c r="D27">
        <v>2334812.5000000005</v>
      </c>
      <c r="E27" s="32">
        <v>466.96250000000009</v>
      </c>
    </row>
    <row r="28" spans="1:17" x14ac:dyDescent="0.35">
      <c r="A28" s="22" t="str">
        <v>NILES ST (IL89)</v>
      </c>
      <c r="B28">
        <v>0</v>
      </c>
      <c r="C28" t="e">
        <v>#N/A</v>
      </c>
      <c r="D28" t="e">
        <v>#N/A</v>
      </c>
      <c r="E28" s="32" t="e">
        <v>#N/A</v>
      </c>
    </row>
    <row r="29" spans="1:17" x14ac:dyDescent="0.35">
      <c r="A29" s="22" t="str">
        <v>Caterpillar Trl (IL 116)</v>
      </c>
      <c r="B29">
        <v>0</v>
      </c>
      <c r="C29" t="e">
        <v>#N/A</v>
      </c>
      <c r="D29" t="e">
        <v>#N/A</v>
      </c>
      <c r="E29" s="32" t="e">
        <v>#N/A</v>
      </c>
    </row>
    <row r="30" spans="1:17" x14ac:dyDescent="0.35">
      <c r="A30" s="22" t="str">
        <v>Spring Bay Road (IL26)</v>
      </c>
      <c r="B30">
        <v>0</v>
      </c>
      <c r="C30" t="e">
        <v>#N/A</v>
      </c>
      <c r="D30" t="e">
        <v>#N/A</v>
      </c>
      <c r="E30" s="32" t="e">
        <v>#N/A</v>
      </c>
    </row>
    <row r="31" spans="1:17" x14ac:dyDescent="0.35">
      <c r="A31" s="22" t="str">
        <v>CR2200 N</v>
      </c>
      <c r="B31">
        <v>0</v>
      </c>
      <c r="C31" t="e">
        <v>#N/A</v>
      </c>
      <c r="D31" t="e">
        <v>#N/A</v>
      </c>
      <c r="E31" s="32" t="e">
        <v>#N/A</v>
      </c>
    </row>
    <row r="32" spans="1:17" x14ac:dyDescent="0.35">
      <c r="A32" s="22" t="str">
        <v>Nofsinger Rd</v>
      </c>
      <c r="B32">
        <v>0</v>
      </c>
      <c r="C32" t="e">
        <v>#N/A</v>
      </c>
      <c r="D32" t="e">
        <v>#N/A</v>
      </c>
      <c r="E32" s="32" t="e">
        <v>#N/A</v>
      </c>
    </row>
    <row r="33" spans="1:5" x14ac:dyDescent="0.35">
      <c r="A33" s="22" t="str">
        <v>STATE ST (IL89)</v>
      </c>
      <c r="B33">
        <v>0</v>
      </c>
      <c r="C33" t="e">
        <v>#N/A</v>
      </c>
      <c r="D33" t="e">
        <v>#N/A</v>
      </c>
      <c r="E33" s="32" t="e">
        <v>#N/A</v>
      </c>
    </row>
    <row r="34" spans="1:5" x14ac:dyDescent="0.35">
      <c r="A34" s="22" t="str">
        <v>IL89</v>
      </c>
      <c r="B34">
        <v>0</v>
      </c>
      <c r="C34" t="e">
        <v>#N/A</v>
      </c>
      <c r="D34" t="e">
        <v>#N/A</v>
      </c>
      <c r="E34" s="32" t="e">
        <v>#N/A</v>
      </c>
    </row>
    <row r="35" spans="1:5" x14ac:dyDescent="0.35">
      <c r="A35" s="22" t="str">
        <v xml:space="preserve"> IL26</v>
      </c>
      <c r="B35" t="str">
        <v>Automated Enforcement</v>
      </c>
      <c r="C35">
        <v>1000000</v>
      </c>
      <c r="D35">
        <v>8924996.7999999989</v>
      </c>
      <c r="E35" s="32">
        <v>8.9249967999999988</v>
      </c>
    </row>
    <row r="36" spans="1:5" x14ac:dyDescent="0.35">
      <c r="A36" s="22" t="str">
        <v>WOODLAND KNOLLS RD@116</v>
      </c>
      <c r="B36">
        <v>0</v>
      </c>
      <c r="C36" t="e">
        <v>#N/A</v>
      </c>
      <c r="D36" t="e">
        <v>#N/A</v>
      </c>
      <c r="E36" s="32" t="e">
        <v>#N/A</v>
      </c>
    </row>
    <row r="37" spans="1:5" x14ac:dyDescent="0.35">
      <c r="A37" s="22" t="str">
        <v>WOODLAND KNOLLS RD</v>
      </c>
      <c r="B37">
        <v>0</v>
      </c>
      <c r="C37" t="e">
        <v>#N/A</v>
      </c>
      <c r="D37" t="e">
        <v>#N/A</v>
      </c>
      <c r="E37" s="32" t="e">
        <v>#N/A</v>
      </c>
    </row>
    <row r="38" spans="1:5" x14ac:dyDescent="0.35">
      <c r="A38" s="22" t="str">
        <v xml:space="preserve"> US24 (El Paso)</v>
      </c>
      <c r="B38">
        <v>0</v>
      </c>
      <c r="C38" t="e">
        <v>#N/A</v>
      </c>
      <c r="D38" t="e">
        <v>#N/A</v>
      </c>
      <c r="E38" s="32" t="e">
        <v>#N/A</v>
      </c>
    </row>
    <row r="39" spans="1:5" x14ac:dyDescent="0.35">
      <c r="A39" s="22">
        <v>0</v>
      </c>
      <c r="B39">
        <v>0</v>
      </c>
      <c r="C39" t="e">
        <v>#N/A</v>
      </c>
      <c r="D39" t="e">
        <v>#N/A</v>
      </c>
      <c r="E39" s="32" t="e">
        <v>#N/A</v>
      </c>
    </row>
    <row r="40" spans="1:5" x14ac:dyDescent="0.35">
      <c r="A40" s="22">
        <v>0</v>
      </c>
      <c r="B40">
        <v>0</v>
      </c>
      <c r="C40" t="e">
        <v>#N/A</v>
      </c>
      <c r="D40" t="e">
        <v>#N/A</v>
      </c>
      <c r="E40" s="32" t="e">
        <v>#N/A</v>
      </c>
    </row>
    <row r="41" spans="1:5" x14ac:dyDescent="0.35">
      <c r="A41" s="22">
        <v>0</v>
      </c>
      <c r="B41">
        <v>0</v>
      </c>
      <c r="C41" t="e">
        <v>#N/A</v>
      </c>
      <c r="D41" t="e">
        <v>#N/A</v>
      </c>
      <c r="E41" s="32" t="e">
        <v>#N/A</v>
      </c>
    </row>
    <row r="42" spans="1:5" x14ac:dyDescent="0.35">
      <c r="A42" s="22">
        <v>0</v>
      </c>
      <c r="B42">
        <v>0</v>
      </c>
      <c r="C42" t="e">
        <v>#N/A</v>
      </c>
      <c r="D42" t="e">
        <v>#N/A</v>
      </c>
      <c r="E42" s="32" t="e">
        <v>#N/A</v>
      </c>
    </row>
    <row r="43" spans="1:5" x14ac:dyDescent="0.35">
      <c r="A43" s="22">
        <v>0</v>
      </c>
      <c r="B43">
        <v>0</v>
      </c>
      <c r="C43" t="e">
        <v>#N/A</v>
      </c>
      <c r="D43" t="e">
        <v>#N/A</v>
      </c>
      <c r="E43" s="32" t="e">
        <v>#N/A</v>
      </c>
    </row>
    <row r="44" spans="1:5" ht="15" thickBot="1" x14ac:dyDescent="0.4">
      <c r="A44" s="26">
        <v>0</v>
      </c>
      <c r="B44" s="27">
        <v>0</v>
      </c>
      <c r="C44" s="27" t="e">
        <v>#N/A</v>
      </c>
      <c r="D44" s="27" t="e">
        <v>#N/A</v>
      </c>
      <c r="E44" s="33" t="e">
        <v>#N/A</v>
      </c>
    </row>
  </sheetData>
  <mergeCells count="2">
    <mergeCell ref="A1:B1"/>
    <mergeCell ref="A2:B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714A54C-4B86-4302-9B55-F7A54A4C3820}">
          <x14:formula1>
            <xm:f>'Improvement Types'!$A$2:$A$30</xm:f>
          </x14:formula1>
          <xm:sqref>J23:J28 I4:I22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B1305-886C-4AD9-BE41-08830A206F77}">
  <dimension ref="A1:K31"/>
  <sheetViews>
    <sheetView workbookViewId="0">
      <selection activeCell="J10" sqref="J10"/>
    </sheetView>
  </sheetViews>
  <sheetFormatPr defaultRowHeight="14.5" x14ac:dyDescent="0.35"/>
  <cols>
    <col min="1" max="1" width="40.54296875" bestFit="1" customWidth="1"/>
    <col min="3" max="3" width="14.453125" customWidth="1"/>
    <col min="4" max="4" width="18.54296875" bestFit="1" customWidth="1"/>
    <col min="8" max="8" width="45.453125" bestFit="1" customWidth="1"/>
  </cols>
  <sheetData>
    <row r="1" spans="1:11" x14ac:dyDescent="0.35">
      <c r="A1" s="2" t="s">
        <v>36</v>
      </c>
      <c r="B1" s="2" t="s">
        <v>37</v>
      </c>
      <c r="C1" s="2" t="s">
        <v>39</v>
      </c>
      <c r="D1" s="2" t="s">
        <v>40</v>
      </c>
      <c r="E1" s="2" t="s">
        <v>101</v>
      </c>
      <c r="H1" s="2" t="s">
        <v>102</v>
      </c>
    </row>
    <row r="2" spans="1:11" x14ac:dyDescent="0.35">
      <c r="A2" t="s">
        <v>49</v>
      </c>
      <c r="B2">
        <v>0.52</v>
      </c>
      <c r="C2" s="16">
        <v>100000</v>
      </c>
      <c r="D2" t="s">
        <v>103</v>
      </c>
      <c r="H2" t="s">
        <v>104</v>
      </c>
      <c r="I2">
        <v>0.69</v>
      </c>
      <c r="J2" t="s">
        <v>105</v>
      </c>
    </row>
    <row r="3" spans="1:11" x14ac:dyDescent="0.35">
      <c r="A3" t="s">
        <v>55</v>
      </c>
      <c r="B3">
        <v>0.55000000000000004</v>
      </c>
      <c r="C3" s="1">
        <v>108000</v>
      </c>
      <c r="D3" t="s">
        <v>106</v>
      </c>
      <c r="H3" t="s">
        <v>107</v>
      </c>
      <c r="I3" t="s">
        <v>108</v>
      </c>
      <c r="J3" s="1">
        <f>13000*1.37</f>
        <v>17810</v>
      </c>
      <c r="K3" t="s">
        <v>109</v>
      </c>
    </row>
    <row r="4" spans="1:11" x14ac:dyDescent="0.35">
      <c r="A4" t="s">
        <v>47</v>
      </c>
      <c r="B4">
        <v>0.44</v>
      </c>
      <c r="C4" s="7">
        <v>89000</v>
      </c>
      <c r="D4" t="s">
        <v>110</v>
      </c>
      <c r="H4" t="s">
        <v>111</v>
      </c>
      <c r="I4">
        <v>0.1</v>
      </c>
      <c r="J4" t="s">
        <v>105</v>
      </c>
    </row>
    <row r="5" spans="1:11" x14ac:dyDescent="0.35">
      <c r="A5" t="s">
        <v>54</v>
      </c>
      <c r="B5">
        <v>0.64</v>
      </c>
      <c r="C5" s="1">
        <v>5000</v>
      </c>
      <c r="D5" t="s">
        <v>109</v>
      </c>
      <c r="H5" t="s">
        <v>112</v>
      </c>
      <c r="I5">
        <v>0.56000000000000005</v>
      </c>
      <c r="J5" t="s">
        <v>105</v>
      </c>
    </row>
    <row r="6" spans="1:11" x14ac:dyDescent="0.35">
      <c r="A6" t="s">
        <v>51</v>
      </c>
      <c r="B6">
        <v>0.61</v>
      </c>
      <c r="C6" s="1">
        <v>1000</v>
      </c>
      <c r="D6" t="s">
        <v>109</v>
      </c>
    </row>
    <row r="7" spans="1:11" x14ac:dyDescent="0.35">
      <c r="A7" t="s">
        <v>113</v>
      </c>
      <c r="B7">
        <v>0.74</v>
      </c>
      <c r="C7" s="1">
        <v>200000</v>
      </c>
      <c r="D7" t="s">
        <v>114</v>
      </c>
    </row>
    <row r="8" spans="1:11" x14ac:dyDescent="0.35">
      <c r="A8" t="s">
        <v>115</v>
      </c>
      <c r="B8">
        <v>0.56000000000000005</v>
      </c>
      <c r="C8" s="1">
        <v>60000</v>
      </c>
      <c r="D8" t="s">
        <v>116</v>
      </c>
      <c r="E8" t="s">
        <v>117</v>
      </c>
    </row>
    <row r="9" spans="1:11" x14ac:dyDescent="0.35">
      <c r="A9" t="s">
        <v>118</v>
      </c>
      <c r="B9">
        <v>0.59</v>
      </c>
      <c r="C9" s="7">
        <f>9510*1.37</f>
        <v>13028.7</v>
      </c>
      <c r="D9" t="s">
        <v>119</v>
      </c>
    </row>
    <row r="10" spans="1:11" x14ac:dyDescent="0.35">
      <c r="A10" t="s">
        <v>120</v>
      </c>
      <c r="B10">
        <v>0.76</v>
      </c>
      <c r="C10" s="1">
        <v>5600</v>
      </c>
      <c r="D10" t="s">
        <v>121</v>
      </c>
    </row>
    <row r="11" spans="1:11" x14ac:dyDescent="0.35">
      <c r="A11" t="s">
        <v>122</v>
      </c>
      <c r="B11">
        <v>0.53</v>
      </c>
      <c r="C11" s="1">
        <v>440000</v>
      </c>
      <c r="D11" t="s">
        <v>123</v>
      </c>
    </row>
    <row r="12" spans="1:11" x14ac:dyDescent="0.35">
      <c r="A12" t="s">
        <v>124</v>
      </c>
      <c r="B12">
        <v>0.7</v>
      </c>
      <c r="C12" s="1">
        <v>100000</v>
      </c>
      <c r="D12" t="s">
        <v>125</v>
      </c>
    </row>
    <row r="13" spans="1:11" x14ac:dyDescent="0.35">
      <c r="A13" t="s">
        <v>126</v>
      </c>
      <c r="B13">
        <v>0.9</v>
      </c>
      <c r="C13" s="1">
        <v>16000</v>
      </c>
      <c r="D13" t="s">
        <v>116</v>
      </c>
      <c r="E13" t="s">
        <v>127</v>
      </c>
    </row>
    <row r="14" spans="1:11" x14ac:dyDescent="0.35">
      <c r="A14" t="s">
        <v>128</v>
      </c>
      <c r="B14">
        <v>0.7</v>
      </c>
      <c r="C14" s="1">
        <v>1500000</v>
      </c>
      <c r="D14" t="s">
        <v>109</v>
      </c>
    </row>
    <row r="15" spans="1:11" x14ac:dyDescent="0.35">
      <c r="A15" t="s">
        <v>87</v>
      </c>
      <c r="B15">
        <v>0.88</v>
      </c>
      <c r="C15" s="1">
        <f>57680*1.37</f>
        <v>79021.600000000006</v>
      </c>
      <c r="D15" t="s">
        <v>109</v>
      </c>
    </row>
    <row r="16" spans="1:11" x14ac:dyDescent="0.35">
      <c r="A16" t="s">
        <v>129</v>
      </c>
      <c r="B16">
        <v>0.54</v>
      </c>
      <c r="C16" s="1">
        <v>40000</v>
      </c>
      <c r="D16" t="s">
        <v>109</v>
      </c>
    </row>
    <row r="17" spans="1:5" x14ac:dyDescent="0.35">
      <c r="A17" t="s">
        <v>130</v>
      </c>
      <c r="B17">
        <v>0.94</v>
      </c>
      <c r="C17" s="1">
        <v>2000</v>
      </c>
      <c r="D17" t="s">
        <v>125</v>
      </c>
      <c r="E17" t="s">
        <v>131</v>
      </c>
    </row>
    <row r="18" spans="1:5" x14ac:dyDescent="0.35">
      <c r="A18" t="s">
        <v>75</v>
      </c>
      <c r="B18">
        <v>0.78</v>
      </c>
      <c r="C18" s="1">
        <v>350000</v>
      </c>
      <c r="D18" t="s">
        <v>109</v>
      </c>
    </row>
    <row r="19" spans="1:5" x14ac:dyDescent="0.35">
      <c r="A19" t="s">
        <v>132</v>
      </c>
      <c r="B19">
        <v>0.53</v>
      </c>
      <c r="C19" s="1">
        <v>225000</v>
      </c>
      <c r="D19" t="s">
        <v>109</v>
      </c>
    </row>
    <row r="20" spans="1:5" x14ac:dyDescent="0.35">
      <c r="A20" t="s">
        <v>133</v>
      </c>
      <c r="B20">
        <v>0.63</v>
      </c>
      <c r="C20" s="1">
        <v>1500000</v>
      </c>
      <c r="D20" t="s">
        <v>134</v>
      </c>
    </row>
    <row r="21" spans="1:5" x14ac:dyDescent="0.35">
      <c r="A21" t="s">
        <v>135</v>
      </c>
      <c r="B21">
        <v>0.79</v>
      </c>
      <c r="C21" s="1">
        <v>100000</v>
      </c>
      <c r="D21" t="s">
        <v>116</v>
      </c>
    </row>
    <row r="22" spans="1:5" x14ac:dyDescent="0.35">
      <c r="A22" t="s">
        <v>63</v>
      </c>
      <c r="B22">
        <v>0.52</v>
      </c>
      <c r="C22" s="1">
        <v>1500000</v>
      </c>
      <c r="D22" t="s">
        <v>109</v>
      </c>
    </row>
    <row r="23" spans="1:5" x14ac:dyDescent="0.35">
      <c r="A23" t="s">
        <v>136</v>
      </c>
      <c r="B23">
        <v>0.31</v>
      </c>
      <c r="C23" s="1">
        <v>25000</v>
      </c>
      <c r="D23" t="s">
        <v>109</v>
      </c>
    </row>
    <row r="24" spans="1:5" x14ac:dyDescent="0.35">
      <c r="A24" t="s">
        <v>137</v>
      </c>
      <c r="B24">
        <v>0.84</v>
      </c>
      <c r="C24" s="1">
        <v>5000</v>
      </c>
      <c r="D24" t="s">
        <v>134</v>
      </c>
      <c r="E24" t="s">
        <v>131</v>
      </c>
    </row>
    <row r="25" spans="1:5" x14ac:dyDescent="0.35">
      <c r="A25" t="s">
        <v>138</v>
      </c>
      <c r="B25">
        <v>0.55000000000000004</v>
      </c>
      <c r="C25" s="7">
        <f>481000*1.37</f>
        <v>658970</v>
      </c>
      <c r="D25" t="s">
        <v>134</v>
      </c>
    </row>
    <row r="26" spans="1:5" x14ac:dyDescent="0.35">
      <c r="A26" t="s">
        <v>89</v>
      </c>
      <c r="B26">
        <v>0.85</v>
      </c>
      <c r="C26" s="1">
        <v>1000</v>
      </c>
      <c r="D26" t="s">
        <v>109</v>
      </c>
    </row>
    <row r="27" spans="1:5" x14ac:dyDescent="0.35">
      <c r="A27" t="s">
        <v>139</v>
      </c>
      <c r="B27">
        <v>0.85</v>
      </c>
      <c r="C27" s="1">
        <v>30000</v>
      </c>
      <c r="D27" t="s">
        <v>116</v>
      </c>
    </row>
    <row r="28" spans="1:5" x14ac:dyDescent="0.35">
      <c r="A28" t="s">
        <v>48</v>
      </c>
      <c r="B28">
        <v>0.9</v>
      </c>
      <c r="C28" s="1">
        <v>31000</v>
      </c>
      <c r="D28" t="s">
        <v>109</v>
      </c>
    </row>
    <row r="29" spans="1:5" x14ac:dyDescent="0.35">
      <c r="A29" t="s">
        <v>140</v>
      </c>
      <c r="B29">
        <v>0.5</v>
      </c>
      <c r="C29" s="1">
        <v>2500</v>
      </c>
      <c r="D29" t="s">
        <v>109</v>
      </c>
    </row>
    <row r="30" spans="1:5" x14ac:dyDescent="0.35">
      <c r="A30" t="s">
        <v>141</v>
      </c>
      <c r="B30">
        <v>0.92</v>
      </c>
      <c r="C30" s="1">
        <v>2000</v>
      </c>
      <c r="D30" t="s">
        <v>116</v>
      </c>
      <c r="E30" t="s">
        <v>142</v>
      </c>
    </row>
    <row r="31" spans="1:5" x14ac:dyDescent="0.35">
      <c r="A31" t="s">
        <v>143</v>
      </c>
      <c r="B31">
        <v>0.6</v>
      </c>
      <c r="C31">
        <f>32*1.37</f>
        <v>43.84</v>
      </c>
      <c r="D31" t="s">
        <v>144</v>
      </c>
    </row>
  </sheetData>
  <sortState xmlns:xlrd2="http://schemas.microsoft.com/office/spreadsheetml/2017/richdata2" ref="A2:E31">
    <sortCondition ref="A2:A31"/>
  </sortState>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1F5D6-D980-429A-802A-A850C4C08CC7}">
  <dimension ref="A1:N61"/>
  <sheetViews>
    <sheetView workbookViewId="0">
      <selection activeCell="Q7" sqref="Q7"/>
    </sheetView>
  </sheetViews>
  <sheetFormatPr defaultRowHeight="14.5" x14ac:dyDescent="0.35"/>
  <cols>
    <col min="7" max="7" width="18.1796875" bestFit="1" customWidth="1"/>
    <col min="8" max="8" width="26.81640625" bestFit="1" customWidth="1"/>
    <col min="9" max="9" width="21.1796875" bestFit="1" customWidth="1"/>
    <col min="10" max="10" width="25.7265625" bestFit="1" customWidth="1"/>
    <col min="11" max="11" width="15.54296875" bestFit="1" customWidth="1"/>
    <col min="12" max="12" width="14.7265625" bestFit="1" customWidth="1"/>
    <col min="13" max="13" width="22.7265625" bestFit="1" customWidth="1"/>
    <col min="14" max="14" width="14" bestFit="1" customWidth="1"/>
  </cols>
  <sheetData>
    <row r="1" spans="1:14" x14ac:dyDescent="0.35">
      <c r="A1" t="s">
        <v>145</v>
      </c>
    </row>
    <row r="2" spans="1:14" x14ac:dyDescent="0.35">
      <c r="A2" t="s">
        <v>146</v>
      </c>
    </row>
    <row r="3" spans="1:14" s="2" customFormat="1" x14ac:dyDescent="0.35">
      <c r="A3" s="2" t="s">
        <v>147</v>
      </c>
      <c r="B3" s="2" t="s">
        <v>148</v>
      </c>
      <c r="C3" s="2" t="s">
        <v>149</v>
      </c>
      <c r="D3" s="2" t="s">
        <v>150</v>
      </c>
      <c r="E3" s="2" t="s">
        <v>151</v>
      </c>
      <c r="F3" s="2" t="s">
        <v>152</v>
      </c>
      <c r="G3" s="2" t="s">
        <v>153</v>
      </c>
      <c r="H3" s="2" t="s">
        <v>154</v>
      </c>
      <c r="I3" s="2" t="s">
        <v>155</v>
      </c>
      <c r="J3" s="2" t="s">
        <v>156</v>
      </c>
      <c r="K3" s="2" t="s">
        <v>157</v>
      </c>
      <c r="L3" s="2" t="s">
        <v>158</v>
      </c>
      <c r="M3" s="2" t="s">
        <v>159</v>
      </c>
      <c r="N3" s="2" t="s">
        <v>160</v>
      </c>
    </row>
    <row r="4" spans="1:14" x14ac:dyDescent="0.35">
      <c r="A4">
        <v>1</v>
      </c>
      <c r="B4">
        <v>10800</v>
      </c>
      <c r="C4" t="s">
        <v>161</v>
      </c>
      <c r="D4" t="s">
        <v>162</v>
      </c>
      <c r="E4">
        <v>4</v>
      </c>
      <c r="F4" t="s">
        <v>61</v>
      </c>
      <c r="G4" t="s">
        <v>163</v>
      </c>
      <c r="H4" t="s">
        <v>46</v>
      </c>
      <c r="I4" t="s">
        <v>164</v>
      </c>
      <c r="J4" t="s">
        <v>165</v>
      </c>
      <c r="K4">
        <v>29</v>
      </c>
      <c r="L4">
        <v>1</v>
      </c>
      <c r="M4">
        <v>21</v>
      </c>
      <c r="N4" s="3">
        <v>1.9836199016751497</v>
      </c>
    </row>
    <row r="5" spans="1:14" x14ac:dyDescent="0.35">
      <c r="A5">
        <v>2</v>
      </c>
      <c r="B5">
        <v>23000</v>
      </c>
      <c r="C5" t="s">
        <v>161</v>
      </c>
      <c r="D5" t="s">
        <v>166</v>
      </c>
      <c r="E5">
        <v>4</v>
      </c>
      <c r="F5" t="s">
        <v>61</v>
      </c>
      <c r="G5" t="s">
        <v>167</v>
      </c>
      <c r="H5" t="s">
        <v>64</v>
      </c>
      <c r="I5" t="s">
        <v>168</v>
      </c>
      <c r="J5" t="s">
        <v>169</v>
      </c>
      <c r="K5">
        <v>49</v>
      </c>
      <c r="L5">
        <v>5</v>
      </c>
      <c r="M5">
        <v>19</v>
      </c>
      <c r="N5" s="3">
        <v>1.97</v>
      </c>
    </row>
    <row r="6" spans="1:14" x14ac:dyDescent="0.35">
      <c r="A6">
        <v>3</v>
      </c>
      <c r="B6">
        <v>11400</v>
      </c>
      <c r="C6" t="s">
        <v>170</v>
      </c>
      <c r="D6" t="s">
        <v>162</v>
      </c>
      <c r="E6">
        <v>4</v>
      </c>
      <c r="F6" t="s">
        <v>171</v>
      </c>
      <c r="G6" t="s">
        <v>171</v>
      </c>
      <c r="H6" t="s">
        <v>76</v>
      </c>
      <c r="I6" t="s">
        <v>172</v>
      </c>
      <c r="J6" t="s">
        <v>173</v>
      </c>
      <c r="K6">
        <v>5</v>
      </c>
      <c r="L6">
        <v>0</v>
      </c>
      <c r="M6">
        <v>0</v>
      </c>
      <c r="N6" s="3">
        <v>0.64978276240345378</v>
      </c>
    </row>
    <row r="7" spans="1:14" x14ac:dyDescent="0.35">
      <c r="A7">
        <v>4</v>
      </c>
      <c r="B7">
        <v>5900</v>
      </c>
      <c r="C7" t="s">
        <v>161</v>
      </c>
      <c r="D7" t="s">
        <v>162</v>
      </c>
      <c r="E7">
        <v>3</v>
      </c>
      <c r="F7" t="s">
        <v>61</v>
      </c>
      <c r="G7" t="s">
        <v>174</v>
      </c>
      <c r="H7" t="s">
        <v>50</v>
      </c>
      <c r="I7" t="s">
        <v>175</v>
      </c>
      <c r="J7" t="s">
        <v>176</v>
      </c>
      <c r="K7">
        <v>28</v>
      </c>
      <c r="L7">
        <v>4</v>
      </c>
      <c r="M7">
        <v>20</v>
      </c>
      <c r="N7" s="3">
        <v>2.92</v>
      </c>
    </row>
    <row r="8" spans="1:14" x14ac:dyDescent="0.35">
      <c r="A8">
        <v>5</v>
      </c>
      <c r="B8">
        <v>11300</v>
      </c>
      <c r="C8" t="s">
        <v>170</v>
      </c>
      <c r="D8" t="s">
        <v>162</v>
      </c>
      <c r="E8">
        <v>4</v>
      </c>
      <c r="F8" t="s">
        <v>171</v>
      </c>
      <c r="G8" t="s">
        <v>171</v>
      </c>
      <c r="H8" t="s">
        <v>52</v>
      </c>
      <c r="I8" t="s">
        <v>177</v>
      </c>
      <c r="J8" t="s">
        <v>178</v>
      </c>
      <c r="K8">
        <v>14</v>
      </c>
      <c r="L8">
        <v>3</v>
      </c>
      <c r="M8">
        <v>12</v>
      </c>
      <c r="N8" s="3">
        <v>1.8237027667054291</v>
      </c>
    </row>
    <row r="9" spans="1:14" x14ac:dyDescent="0.35">
      <c r="A9">
        <v>6</v>
      </c>
      <c r="B9">
        <v>24800</v>
      </c>
      <c r="C9" t="s">
        <v>170</v>
      </c>
      <c r="D9" t="s">
        <v>166</v>
      </c>
      <c r="E9">
        <v>4</v>
      </c>
      <c r="F9" t="s">
        <v>179</v>
      </c>
      <c r="G9" t="s">
        <v>167</v>
      </c>
      <c r="H9" t="s">
        <v>180</v>
      </c>
      <c r="I9" t="s">
        <v>181</v>
      </c>
      <c r="J9" t="s">
        <v>182</v>
      </c>
      <c r="K9">
        <v>26</v>
      </c>
      <c r="L9">
        <v>3</v>
      </c>
      <c r="M9">
        <v>4</v>
      </c>
      <c r="N9" s="3">
        <v>2.1714522614380813</v>
      </c>
    </row>
    <row r="10" spans="1:14" x14ac:dyDescent="0.35">
      <c r="A10">
        <v>7</v>
      </c>
      <c r="B10">
        <v>15800</v>
      </c>
      <c r="C10" t="s">
        <v>170</v>
      </c>
      <c r="D10" t="s">
        <v>162</v>
      </c>
      <c r="E10">
        <v>4</v>
      </c>
      <c r="F10" t="s">
        <v>183</v>
      </c>
      <c r="G10" t="s">
        <v>167</v>
      </c>
      <c r="H10" t="s">
        <v>184</v>
      </c>
      <c r="I10" t="s">
        <v>185</v>
      </c>
      <c r="J10" t="s">
        <v>186</v>
      </c>
      <c r="K10">
        <v>7</v>
      </c>
      <c r="L10">
        <v>1</v>
      </c>
      <c r="M10">
        <v>7</v>
      </c>
      <c r="N10" s="3">
        <v>2.6641725230779754</v>
      </c>
    </row>
    <row r="11" spans="1:14" x14ac:dyDescent="0.35">
      <c r="A11">
        <v>8</v>
      </c>
      <c r="B11">
        <v>8300</v>
      </c>
      <c r="C11" t="s">
        <v>161</v>
      </c>
      <c r="D11" t="s">
        <v>166</v>
      </c>
      <c r="E11">
        <v>4</v>
      </c>
      <c r="F11" t="s">
        <v>61</v>
      </c>
      <c r="G11" t="s">
        <v>174</v>
      </c>
      <c r="H11" t="s">
        <v>56</v>
      </c>
      <c r="I11" t="s">
        <v>175</v>
      </c>
      <c r="J11" t="s">
        <v>176</v>
      </c>
      <c r="K11">
        <v>23</v>
      </c>
      <c r="L11">
        <v>1</v>
      </c>
      <c r="M11">
        <v>18</v>
      </c>
      <c r="N11" s="3">
        <v>2.92</v>
      </c>
    </row>
    <row r="12" spans="1:14" x14ac:dyDescent="0.35">
      <c r="A12">
        <v>9</v>
      </c>
      <c r="B12">
        <v>6200</v>
      </c>
      <c r="C12" t="s">
        <v>161</v>
      </c>
      <c r="D12" t="s">
        <v>162</v>
      </c>
      <c r="E12">
        <v>4</v>
      </c>
      <c r="F12" t="s">
        <v>61</v>
      </c>
      <c r="G12" t="s">
        <v>163</v>
      </c>
      <c r="H12" t="s">
        <v>57</v>
      </c>
      <c r="I12" t="s">
        <v>187</v>
      </c>
      <c r="J12" t="s">
        <v>185</v>
      </c>
      <c r="K12">
        <v>11</v>
      </c>
      <c r="L12">
        <v>1</v>
      </c>
      <c r="M12">
        <v>7</v>
      </c>
      <c r="N12" s="3">
        <v>1.2508194122658394</v>
      </c>
    </row>
    <row r="13" spans="1:14" x14ac:dyDescent="0.35">
      <c r="A13">
        <v>10</v>
      </c>
      <c r="B13">
        <v>15100</v>
      </c>
      <c r="C13" t="s">
        <v>161</v>
      </c>
      <c r="D13" t="s">
        <v>162</v>
      </c>
      <c r="E13">
        <v>4</v>
      </c>
      <c r="F13" t="s">
        <v>61</v>
      </c>
      <c r="G13" t="s">
        <v>188</v>
      </c>
      <c r="H13" t="s">
        <v>58</v>
      </c>
      <c r="I13" t="s">
        <v>189</v>
      </c>
      <c r="J13" t="s">
        <v>168</v>
      </c>
      <c r="K13">
        <v>30</v>
      </c>
      <c r="L13">
        <v>3</v>
      </c>
      <c r="M13">
        <v>7</v>
      </c>
      <c r="N13" s="3">
        <v>2.9695842953245246</v>
      </c>
    </row>
    <row r="14" spans="1:14" x14ac:dyDescent="0.35">
      <c r="N14" s="3"/>
    </row>
    <row r="15" spans="1:14" x14ac:dyDescent="0.35">
      <c r="N15" s="3"/>
    </row>
    <row r="16" spans="1:14" x14ac:dyDescent="0.35">
      <c r="A16" t="s">
        <v>73</v>
      </c>
      <c r="N16" s="3"/>
    </row>
    <row r="17" spans="1:14" s="2" customFormat="1" x14ac:dyDescent="0.35">
      <c r="A17" s="2" t="s">
        <v>147</v>
      </c>
      <c r="B17" s="2" t="s">
        <v>148</v>
      </c>
      <c r="C17" s="2" t="s">
        <v>149</v>
      </c>
      <c r="D17" s="2" t="s">
        <v>150</v>
      </c>
      <c r="E17" s="2" t="s">
        <v>151</v>
      </c>
      <c r="F17" s="2" t="s">
        <v>152</v>
      </c>
      <c r="G17" s="2" t="s">
        <v>153</v>
      </c>
      <c r="H17" s="2" t="s">
        <v>154</v>
      </c>
      <c r="I17" s="2" t="s">
        <v>155</v>
      </c>
      <c r="J17" s="2" t="s">
        <v>156</v>
      </c>
      <c r="K17" s="2" t="s">
        <v>157</v>
      </c>
      <c r="L17" s="2" t="s">
        <v>158</v>
      </c>
      <c r="M17" s="2" t="s">
        <v>159</v>
      </c>
      <c r="N17" s="12" t="s">
        <v>160</v>
      </c>
    </row>
    <row r="18" spans="1:14" x14ac:dyDescent="0.35">
      <c r="A18">
        <v>1</v>
      </c>
      <c r="B18">
        <v>15800</v>
      </c>
      <c r="C18" t="s">
        <v>170</v>
      </c>
      <c r="D18" t="s">
        <v>162</v>
      </c>
      <c r="E18">
        <v>4</v>
      </c>
      <c r="F18" t="s">
        <v>183</v>
      </c>
      <c r="G18" t="s">
        <v>167</v>
      </c>
      <c r="H18" t="s">
        <v>74</v>
      </c>
      <c r="I18" t="s">
        <v>185</v>
      </c>
      <c r="J18" t="s">
        <v>186</v>
      </c>
      <c r="K18">
        <v>7</v>
      </c>
      <c r="L18">
        <v>1</v>
      </c>
      <c r="M18">
        <v>7</v>
      </c>
      <c r="N18" s="3">
        <v>2.6641725230779754</v>
      </c>
    </row>
    <row r="19" spans="1:14" x14ac:dyDescent="0.35">
      <c r="A19">
        <v>2</v>
      </c>
      <c r="B19">
        <v>11300</v>
      </c>
      <c r="C19" t="s">
        <v>170</v>
      </c>
      <c r="D19" t="s">
        <v>162</v>
      </c>
      <c r="E19">
        <v>4</v>
      </c>
      <c r="F19" t="s">
        <v>171</v>
      </c>
      <c r="G19" t="s">
        <v>171</v>
      </c>
      <c r="H19" t="s">
        <v>52</v>
      </c>
      <c r="I19" t="s">
        <v>177</v>
      </c>
      <c r="J19" t="s">
        <v>190</v>
      </c>
      <c r="K19">
        <v>14</v>
      </c>
      <c r="L19">
        <v>3</v>
      </c>
      <c r="M19">
        <v>12</v>
      </c>
      <c r="N19" s="3">
        <v>2.5436832403427747</v>
      </c>
    </row>
    <row r="20" spans="1:14" x14ac:dyDescent="0.35">
      <c r="A20">
        <v>3</v>
      </c>
      <c r="B20">
        <v>12400</v>
      </c>
      <c r="C20" t="s">
        <v>170</v>
      </c>
      <c r="D20" t="s">
        <v>162</v>
      </c>
      <c r="E20">
        <v>4</v>
      </c>
      <c r="F20" t="s">
        <v>171</v>
      </c>
      <c r="G20" t="s">
        <v>171</v>
      </c>
      <c r="H20" t="s">
        <v>76</v>
      </c>
      <c r="I20" t="s">
        <v>191</v>
      </c>
      <c r="J20" t="s">
        <v>173</v>
      </c>
      <c r="K20">
        <v>6</v>
      </c>
      <c r="L20">
        <v>0</v>
      </c>
      <c r="M20">
        <v>0</v>
      </c>
      <c r="N20" s="3">
        <v>1.1643944773855222</v>
      </c>
    </row>
    <row r="21" spans="1:14" x14ac:dyDescent="0.35">
      <c r="A21">
        <v>5</v>
      </c>
      <c r="B21">
        <v>24800</v>
      </c>
      <c r="C21" t="s">
        <v>170</v>
      </c>
      <c r="D21" t="s">
        <v>166</v>
      </c>
      <c r="E21">
        <v>4</v>
      </c>
      <c r="F21" t="s">
        <v>179</v>
      </c>
      <c r="G21" t="s">
        <v>167</v>
      </c>
      <c r="H21" t="s">
        <v>53</v>
      </c>
      <c r="I21" t="s">
        <v>181</v>
      </c>
      <c r="J21" t="s">
        <v>182</v>
      </c>
      <c r="K21">
        <v>26</v>
      </c>
      <c r="L21">
        <v>3</v>
      </c>
      <c r="M21">
        <v>4</v>
      </c>
      <c r="N21" s="3">
        <v>2.1714522614380813</v>
      </c>
    </row>
    <row r="22" spans="1:14" x14ac:dyDescent="0.35">
      <c r="A22">
        <v>4</v>
      </c>
      <c r="B22">
        <v>18500</v>
      </c>
      <c r="C22" t="s">
        <v>170</v>
      </c>
      <c r="D22" t="s">
        <v>166</v>
      </c>
      <c r="E22">
        <v>4</v>
      </c>
      <c r="F22" t="s">
        <v>171</v>
      </c>
      <c r="G22" t="s">
        <v>171</v>
      </c>
      <c r="H22" t="s">
        <v>77</v>
      </c>
      <c r="I22" t="s">
        <v>177</v>
      </c>
      <c r="J22" t="s">
        <v>192</v>
      </c>
      <c r="K22">
        <v>14</v>
      </c>
      <c r="L22">
        <v>0</v>
      </c>
      <c r="M22">
        <v>10</v>
      </c>
      <c r="N22" s="3">
        <v>3.0870271262611291</v>
      </c>
    </row>
    <row r="23" spans="1:14" x14ac:dyDescent="0.35">
      <c r="A23">
        <v>6</v>
      </c>
      <c r="B23">
        <v>6100</v>
      </c>
      <c r="C23" t="s">
        <v>170</v>
      </c>
      <c r="D23" t="s">
        <v>166</v>
      </c>
      <c r="E23">
        <v>2</v>
      </c>
      <c r="F23" t="s">
        <v>171</v>
      </c>
      <c r="G23" t="s">
        <v>171</v>
      </c>
      <c r="H23" t="s">
        <v>78</v>
      </c>
      <c r="I23" t="s">
        <v>192</v>
      </c>
      <c r="J23" t="s">
        <v>193</v>
      </c>
      <c r="K23">
        <v>2</v>
      </c>
      <c r="L23">
        <v>0</v>
      </c>
      <c r="M23">
        <v>0</v>
      </c>
      <c r="N23" s="3">
        <v>0.4624491025996163</v>
      </c>
    </row>
    <row r="24" spans="1:14" x14ac:dyDescent="0.35">
      <c r="A24">
        <v>7</v>
      </c>
      <c r="B24">
        <v>3550</v>
      </c>
      <c r="C24" t="s">
        <v>170</v>
      </c>
      <c r="D24" t="s">
        <v>162</v>
      </c>
      <c r="E24">
        <v>2</v>
      </c>
      <c r="F24" t="s">
        <v>171</v>
      </c>
      <c r="G24" t="s">
        <v>167</v>
      </c>
      <c r="H24" t="s">
        <v>79</v>
      </c>
      <c r="I24" t="s">
        <v>194</v>
      </c>
      <c r="J24" t="s">
        <v>195</v>
      </c>
      <c r="K24">
        <v>13</v>
      </c>
      <c r="L24">
        <v>0</v>
      </c>
      <c r="M24">
        <v>5</v>
      </c>
      <c r="N24" s="3">
        <v>1.2135319145833332</v>
      </c>
    </row>
    <row r="25" spans="1:14" x14ac:dyDescent="0.35">
      <c r="A25">
        <v>8</v>
      </c>
      <c r="B25">
        <v>8300</v>
      </c>
      <c r="C25" t="s">
        <v>170</v>
      </c>
      <c r="D25" t="s">
        <v>166</v>
      </c>
      <c r="E25">
        <v>2</v>
      </c>
      <c r="F25" t="s">
        <v>171</v>
      </c>
      <c r="G25" t="s">
        <v>171</v>
      </c>
      <c r="H25" t="s">
        <v>80</v>
      </c>
      <c r="I25" t="s">
        <v>192</v>
      </c>
      <c r="J25" t="s">
        <v>193</v>
      </c>
      <c r="K25">
        <v>12</v>
      </c>
      <c r="L25">
        <v>0</v>
      </c>
      <c r="M25">
        <v>4</v>
      </c>
      <c r="N25" s="3">
        <v>0.57349309404808801</v>
      </c>
    </row>
    <row r="26" spans="1:14" x14ac:dyDescent="0.35">
      <c r="A26">
        <v>9</v>
      </c>
      <c r="B26">
        <v>2850</v>
      </c>
      <c r="C26" t="s">
        <v>170</v>
      </c>
      <c r="D26" t="s">
        <v>196</v>
      </c>
      <c r="E26">
        <v>2</v>
      </c>
      <c r="F26" t="s">
        <v>183</v>
      </c>
      <c r="G26" t="s">
        <v>183</v>
      </c>
      <c r="H26" t="s">
        <v>81</v>
      </c>
      <c r="I26" t="s">
        <v>197</v>
      </c>
      <c r="J26" t="s">
        <v>198</v>
      </c>
      <c r="K26">
        <v>4</v>
      </c>
      <c r="L26">
        <v>1</v>
      </c>
      <c r="M26">
        <v>2</v>
      </c>
      <c r="N26" s="3">
        <v>0.35341608959022802</v>
      </c>
    </row>
    <row r="27" spans="1:14" x14ac:dyDescent="0.35">
      <c r="A27">
        <v>10</v>
      </c>
      <c r="B27">
        <v>7000</v>
      </c>
      <c r="C27" t="s">
        <v>170</v>
      </c>
      <c r="D27" t="s">
        <v>162</v>
      </c>
      <c r="E27">
        <v>2</v>
      </c>
      <c r="F27" t="s">
        <v>171</v>
      </c>
      <c r="G27" t="s">
        <v>171</v>
      </c>
      <c r="H27" t="s">
        <v>82</v>
      </c>
      <c r="I27" t="s">
        <v>192</v>
      </c>
      <c r="J27" t="s">
        <v>199</v>
      </c>
      <c r="K27">
        <v>5</v>
      </c>
      <c r="L27">
        <v>0</v>
      </c>
      <c r="M27">
        <v>4</v>
      </c>
      <c r="N27" s="3">
        <v>0.40536306348691548</v>
      </c>
    </row>
    <row r="28" spans="1:14" x14ac:dyDescent="0.35">
      <c r="A28">
        <v>11</v>
      </c>
      <c r="B28">
        <v>20200</v>
      </c>
      <c r="C28" t="s">
        <v>170</v>
      </c>
      <c r="D28" t="s">
        <v>162</v>
      </c>
      <c r="E28">
        <v>4</v>
      </c>
      <c r="F28" t="s">
        <v>179</v>
      </c>
      <c r="G28" t="s">
        <v>167</v>
      </c>
      <c r="H28" t="s">
        <v>83</v>
      </c>
      <c r="I28" t="s">
        <v>200</v>
      </c>
      <c r="J28" t="s">
        <v>201</v>
      </c>
      <c r="K28">
        <v>28</v>
      </c>
      <c r="L28">
        <v>4</v>
      </c>
      <c r="M28">
        <v>15</v>
      </c>
      <c r="N28" s="3">
        <v>6.4169130070363858</v>
      </c>
    </row>
    <row r="29" spans="1:14" x14ac:dyDescent="0.35">
      <c r="A29">
        <v>12</v>
      </c>
      <c r="B29">
        <v>1600</v>
      </c>
      <c r="C29" t="s">
        <v>170</v>
      </c>
      <c r="D29" t="s">
        <v>202</v>
      </c>
      <c r="E29">
        <v>2</v>
      </c>
      <c r="F29" t="s">
        <v>171</v>
      </c>
      <c r="G29" t="s">
        <v>171</v>
      </c>
      <c r="H29" t="s">
        <v>84</v>
      </c>
      <c r="I29" t="s">
        <v>203</v>
      </c>
      <c r="J29" t="s">
        <v>204</v>
      </c>
      <c r="K29">
        <v>7</v>
      </c>
      <c r="L29">
        <v>0</v>
      </c>
      <c r="M29">
        <v>2</v>
      </c>
      <c r="N29" s="3">
        <v>0.57375663352272732</v>
      </c>
    </row>
    <row r="30" spans="1:14" x14ac:dyDescent="0.35">
      <c r="N30" s="3"/>
    </row>
    <row r="31" spans="1:14" x14ac:dyDescent="0.35">
      <c r="A31" t="s">
        <v>61</v>
      </c>
      <c r="N31" s="3"/>
    </row>
    <row r="32" spans="1:14" s="2" customFormat="1" x14ac:dyDescent="0.35">
      <c r="A32" s="2" t="s">
        <v>147</v>
      </c>
      <c r="B32" s="2" t="s">
        <v>148</v>
      </c>
      <c r="C32" s="2" t="s">
        <v>149</v>
      </c>
      <c r="D32" s="2" t="s">
        <v>150</v>
      </c>
      <c r="E32" s="2" t="s">
        <v>151</v>
      </c>
      <c r="F32" s="2" t="s">
        <v>152</v>
      </c>
      <c r="G32" s="2" t="s">
        <v>153</v>
      </c>
      <c r="H32" s="2" t="s">
        <v>154</v>
      </c>
      <c r="I32" s="2" t="s">
        <v>155</v>
      </c>
      <c r="J32" s="2" t="s">
        <v>156</v>
      </c>
      <c r="K32" s="2" t="s">
        <v>157</v>
      </c>
      <c r="L32" s="2" t="s">
        <v>158</v>
      </c>
      <c r="M32" s="2" t="s">
        <v>159</v>
      </c>
      <c r="N32" s="12" t="s">
        <v>160</v>
      </c>
    </row>
    <row r="33" spans="1:14" x14ac:dyDescent="0.35">
      <c r="A33">
        <v>1</v>
      </c>
      <c r="B33">
        <v>6950</v>
      </c>
      <c r="C33" t="s">
        <v>161</v>
      </c>
      <c r="D33" t="s">
        <v>162</v>
      </c>
      <c r="E33">
        <v>4</v>
      </c>
      <c r="F33" t="s">
        <v>61</v>
      </c>
      <c r="G33" t="s">
        <v>163</v>
      </c>
      <c r="H33" t="s">
        <v>62</v>
      </c>
      <c r="I33" t="s">
        <v>164</v>
      </c>
      <c r="J33" t="s">
        <v>165</v>
      </c>
      <c r="K33">
        <v>29</v>
      </c>
      <c r="L33">
        <v>1</v>
      </c>
      <c r="M33">
        <v>21</v>
      </c>
      <c r="N33" s="3">
        <v>1.9836199016751497</v>
      </c>
    </row>
    <row r="34" spans="1:14" x14ac:dyDescent="0.35">
      <c r="A34">
        <v>2</v>
      </c>
      <c r="B34">
        <v>23000</v>
      </c>
      <c r="C34" t="s">
        <v>161</v>
      </c>
      <c r="D34" t="s">
        <v>166</v>
      </c>
      <c r="E34">
        <v>4</v>
      </c>
      <c r="F34" t="s">
        <v>61</v>
      </c>
      <c r="G34" t="s">
        <v>167</v>
      </c>
      <c r="H34" t="s">
        <v>64</v>
      </c>
      <c r="I34" t="s">
        <v>168</v>
      </c>
      <c r="J34" t="s">
        <v>169</v>
      </c>
      <c r="K34">
        <v>49</v>
      </c>
      <c r="L34">
        <v>5</v>
      </c>
      <c r="M34">
        <v>19</v>
      </c>
      <c r="N34" s="3">
        <v>1.9688578560031498</v>
      </c>
    </row>
    <row r="35" spans="1:14" x14ac:dyDescent="0.35">
      <c r="A35">
        <v>3</v>
      </c>
      <c r="B35">
        <v>5900</v>
      </c>
      <c r="C35" t="s">
        <v>161</v>
      </c>
      <c r="D35" t="s">
        <v>162</v>
      </c>
      <c r="E35">
        <v>3</v>
      </c>
      <c r="F35" t="s">
        <v>61</v>
      </c>
      <c r="G35" t="s">
        <v>174</v>
      </c>
      <c r="H35" t="s">
        <v>50</v>
      </c>
      <c r="I35" t="s">
        <v>175</v>
      </c>
      <c r="J35" t="s">
        <v>176</v>
      </c>
      <c r="K35">
        <v>28</v>
      </c>
      <c r="L35">
        <v>4</v>
      </c>
      <c r="M35">
        <v>20</v>
      </c>
      <c r="N35" s="3">
        <v>2.9243160239761457</v>
      </c>
    </row>
    <row r="36" spans="1:14" x14ac:dyDescent="0.35">
      <c r="A36">
        <v>4</v>
      </c>
      <c r="B36">
        <v>6200</v>
      </c>
      <c r="C36" t="s">
        <v>161</v>
      </c>
      <c r="D36" t="s">
        <v>166</v>
      </c>
      <c r="E36">
        <v>5</v>
      </c>
      <c r="F36" t="s">
        <v>61</v>
      </c>
      <c r="G36" t="s">
        <v>174</v>
      </c>
      <c r="H36" t="s">
        <v>56</v>
      </c>
      <c r="I36" t="s">
        <v>175</v>
      </c>
      <c r="J36" t="s">
        <v>176</v>
      </c>
      <c r="K36">
        <v>23</v>
      </c>
      <c r="L36">
        <v>1</v>
      </c>
      <c r="M36">
        <v>18</v>
      </c>
      <c r="N36" s="3">
        <v>2.9303573727411854</v>
      </c>
    </row>
    <row r="37" spans="1:14" x14ac:dyDescent="0.35">
      <c r="A37">
        <v>5</v>
      </c>
      <c r="B37">
        <v>6200</v>
      </c>
      <c r="C37" t="s">
        <v>161</v>
      </c>
      <c r="D37" t="s">
        <v>162</v>
      </c>
      <c r="E37">
        <v>4</v>
      </c>
      <c r="F37" t="s">
        <v>61</v>
      </c>
      <c r="G37" t="s">
        <v>163</v>
      </c>
      <c r="H37" t="s">
        <v>57</v>
      </c>
      <c r="I37" t="s">
        <v>187</v>
      </c>
      <c r="J37" t="s">
        <v>185</v>
      </c>
      <c r="K37">
        <v>11</v>
      </c>
      <c r="L37">
        <v>1</v>
      </c>
      <c r="M37">
        <v>7</v>
      </c>
      <c r="N37" s="3">
        <v>1.2508194122658394</v>
      </c>
    </row>
    <row r="38" spans="1:14" x14ac:dyDescent="0.35">
      <c r="A38">
        <v>6</v>
      </c>
      <c r="B38">
        <v>11100</v>
      </c>
      <c r="C38" t="s">
        <v>161</v>
      </c>
      <c r="D38" t="s">
        <v>162</v>
      </c>
      <c r="E38">
        <v>4</v>
      </c>
      <c r="F38" t="s">
        <v>61</v>
      </c>
      <c r="G38" t="s">
        <v>167</v>
      </c>
      <c r="H38" t="s">
        <v>65</v>
      </c>
      <c r="I38" t="s">
        <v>185</v>
      </c>
      <c r="J38" t="s">
        <v>205</v>
      </c>
      <c r="K38">
        <v>22</v>
      </c>
      <c r="L38">
        <v>4</v>
      </c>
      <c r="M38">
        <v>13</v>
      </c>
      <c r="N38" s="3">
        <v>1.2879339231550313</v>
      </c>
    </row>
    <row r="39" spans="1:14" x14ac:dyDescent="0.35">
      <c r="A39">
        <v>7</v>
      </c>
      <c r="B39">
        <v>15100</v>
      </c>
      <c r="C39" t="s">
        <v>161</v>
      </c>
      <c r="D39" t="s">
        <v>162</v>
      </c>
      <c r="E39">
        <v>4</v>
      </c>
      <c r="F39" t="s">
        <v>61</v>
      </c>
      <c r="G39" t="s">
        <v>188</v>
      </c>
      <c r="H39" t="s">
        <v>58</v>
      </c>
      <c r="I39" t="s">
        <v>189</v>
      </c>
      <c r="J39" t="s">
        <v>168</v>
      </c>
      <c r="K39">
        <v>30</v>
      </c>
      <c r="L39">
        <v>3</v>
      </c>
      <c r="M39">
        <v>7</v>
      </c>
      <c r="N39" s="3">
        <v>2.9695842953245246</v>
      </c>
    </row>
    <row r="40" spans="1:14" x14ac:dyDescent="0.35">
      <c r="A40">
        <v>8</v>
      </c>
      <c r="B40">
        <v>4800</v>
      </c>
      <c r="C40" t="s">
        <v>161</v>
      </c>
      <c r="D40" t="s">
        <v>196</v>
      </c>
      <c r="E40">
        <v>2</v>
      </c>
      <c r="F40" t="s">
        <v>61</v>
      </c>
      <c r="G40" t="s">
        <v>163</v>
      </c>
      <c r="H40" t="s">
        <v>66</v>
      </c>
      <c r="I40" t="s">
        <v>206</v>
      </c>
      <c r="J40" t="s">
        <v>207</v>
      </c>
      <c r="K40">
        <v>13</v>
      </c>
      <c r="L40">
        <v>1</v>
      </c>
      <c r="M40">
        <v>11</v>
      </c>
      <c r="N40" s="3">
        <v>1.5132018601535739</v>
      </c>
    </row>
    <row r="41" spans="1:14" x14ac:dyDescent="0.35">
      <c r="A41">
        <v>9</v>
      </c>
      <c r="B41">
        <v>5200</v>
      </c>
      <c r="C41" t="s">
        <v>161</v>
      </c>
      <c r="D41" t="s">
        <v>196</v>
      </c>
      <c r="E41">
        <v>2</v>
      </c>
      <c r="F41" t="s">
        <v>61</v>
      </c>
      <c r="G41" t="s">
        <v>163</v>
      </c>
      <c r="H41" t="s">
        <v>67</v>
      </c>
      <c r="I41" t="s">
        <v>208</v>
      </c>
      <c r="J41" t="s">
        <v>209</v>
      </c>
      <c r="K41">
        <v>15</v>
      </c>
      <c r="L41">
        <v>2</v>
      </c>
      <c r="M41">
        <v>9</v>
      </c>
      <c r="N41" s="3">
        <v>1.1237569710348625</v>
      </c>
    </row>
    <row r="42" spans="1:14" x14ac:dyDescent="0.35">
      <c r="A42">
        <v>10</v>
      </c>
      <c r="B42">
        <v>4350</v>
      </c>
      <c r="C42" t="s">
        <v>161</v>
      </c>
      <c r="D42" t="s">
        <v>162</v>
      </c>
      <c r="E42">
        <v>2</v>
      </c>
      <c r="F42" t="s">
        <v>61</v>
      </c>
      <c r="G42" t="s">
        <v>163</v>
      </c>
      <c r="H42" t="s">
        <v>68</v>
      </c>
      <c r="I42" t="s">
        <v>210</v>
      </c>
      <c r="J42" t="s">
        <v>211</v>
      </c>
      <c r="K42">
        <v>3</v>
      </c>
      <c r="L42">
        <v>1</v>
      </c>
      <c r="M42">
        <v>1</v>
      </c>
      <c r="N42" s="3">
        <v>0.31969219650510722</v>
      </c>
    </row>
    <row r="43" spans="1:14" x14ac:dyDescent="0.35">
      <c r="A43">
        <v>11</v>
      </c>
      <c r="B43">
        <v>1100</v>
      </c>
      <c r="C43" t="s">
        <v>161</v>
      </c>
      <c r="D43" t="s">
        <v>196</v>
      </c>
      <c r="E43">
        <v>4</v>
      </c>
      <c r="F43" t="s">
        <v>61</v>
      </c>
      <c r="G43" t="s">
        <v>163</v>
      </c>
      <c r="H43" t="s">
        <v>69</v>
      </c>
      <c r="I43" t="s">
        <v>212</v>
      </c>
      <c r="J43" t="s">
        <v>213</v>
      </c>
      <c r="K43">
        <v>2</v>
      </c>
      <c r="L43">
        <v>0</v>
      </c>
      <c r="M43">
        <v>2</v>
      </c>
      <c r="N43" s="3">
        <v>0.26474219714213504</v>
      </c>
    </row>
    <row r="44" spans="1:14" x14ac:dyDescent="0.35">
      <c r="A44">
        <v>12</v>
      </c>
      <c r="B44">
        <v>6100</v>
      </c>
      <c r="C44" t="s">
        <v>161</v>
      </c>
      <c r="D44" t="s">
        <v>166</v>
      </c>
      <c r="E44">
        <v>4</v>
      </c>
      <c r="F44" t="s">
        <v>61</v>
      </c>
      <c r="G44" t="s">
        <v>163</v>
      </c>
      <c r="H44" t="s">
        <v>70</v>
      </c>
      <c r="I44" t="s">
        <v>169</v>
      </c>
      <c r="J44" t="s">
        <v>212</v>
      </c>
      <c r="K44">
        <v>5</v>
      </c>
      <c r="L44">
        <v>1</v>
      </c>
      <c r="M44">
        <v>3</v>
      </c>
      <c r="N44" s="3">
        <v>0.24978455921645415</v>
      </c>
    </row>
    <row r="45" spans="1:14" x14ac:dyDescent="0.35">
      <c r="A45">
        <v>13</v>
      </c>
      <c r="B45">
        <v>26500</v>
      </c>
      <c r="C45" t="s">
        <v>161</v>
      </c>
      <c r="D45" t="s">
        <v>166</v>
      </c>
      <c r="E45">
        <v>4</v>
      </c>
      <c r="F45" t="s">
        <v>61</v>
      </c>
      <c r="G45" t="s">
        <v>167</v>
      </c>
      <c r="H45" t="s">
        <v>71</v>
      </c>
      <c r="I45" t="s">
        <v>214</v>
      </c>
      <c r="J45" t="s">
        <v>215</v>
      </c>
      <c r="K45">
        <v>32</v>
      </c>
      <c r="L45">
        <v>0</v>
      </c>
      <c r="M45">
        <v>6</v>
      </c>
      <c r="N45" s="3">
        <v>1.7738158405533238</v>
      </c>
    </row>
    <row r="46" spans="1:14" x14ac:dyDescent="0.35">
      <c r="N46" s="3"/>
    </row>
    <row r="47" spans="1:14" x14ac:dyDescent="0.35">
      <c r="A47" t="s">
        <v>85</v>
      </c>
      <c r="N47" s="3">
        <v>0</v>
      </c>
    </row>
    <row r="48" spans="1:14" s="2" customFormat="1" x14ac:dyDescent="0.35">
      <c r="A48" s="2" t="s">
        <v>147</v>
      </c>
      <c r="B48" s="2" t="s">
        <v>148</v>
      </c>
      <c r="C48" s="2" t="s">
        <v>149</v>
      </c>
      <c r="D48" s="2" t="s">
        <v>150</v>
      </c>
      <c r="E48" s="2" t="s">
        <v>151</v>
      </c>
      <c r="F48" s="2" t="s">
        <v>152</v>
      </c>
      <c r="G48" s="2" t="s">
        <v>153</v>
      </c>
      <c r="H48" s="2" t="s">
        <v>154</v>
      </c>
      <c r="I48" s="2" t="s">
        <v>155</v>
      </c>
      <c r="J48" s="2" t="s">
        <v>156</v>
      </c>
      <c r="K48" s="2" t="s">
        <v>157</v>
      </c>
      <c r="L48" s="2" t="s">
        <v>158</v>
      </c>
      <c r="M48" s="2" t="s">
        <v>159</v>
      </c>
      <c r="N48" s="12" t="s">
        <v>160</v>
      </c>
    </row>
    <row r="49" spans="1:14" x14ac:dyDescent="0.35">
      <c r="A49">
        <v>1</v>
      </c>
      <c r="B49">
        <v>4150</v>
      </c>
      <c r="C49" t="s">
        <v>216</v>
      </c>
      <c r="D49" t="s">
        <v>162</v>
      </c>
      <c r="E49">
        <v>2</v>
      </c>
      <c r="F49" t="s">
        <v>217</v>
      </c>
      <c r="G49" t="s">
        <v>167</v>
      </c>
      <c r="H49" t="s">
        <v>86</v>
      </c>
      <c r="I49" t="s">
        <v>218</v>
      </c>
      <c r="J49" t="s">
        <v>219</v>
      </c>
      <c r="K49">
        <v>10</v>
      </c>
      <c r="L49">
        <v>1</v>
      </c>
      <c r="M49">
        <v>2</v>
      </c>
      <c r="N49" s="3">
        <v>6.5754123012026549</v>
      </c>
    </row>
    <row r="50" spans="1:14" x14ac:dyDescent="0.35">
      <c r="A50">
        <v>2</v>
      </c>
      <c r="B50">
        <v>5400</v>
      </c>
      <c r="C50" t="s">
        <v>216</v>
      </c>
      <c r="D50" t="s">
        <v>166</v>
      </c>
      <c r="E50">
        <v>2</v>
      </c>
      <c r="F50" t="s">
        <v>217</v>
      </c>
      <c r="G50" t="s">
        <v>167</v>
      </c>
      <c r="H50" t="s">
        <v>88</v>
      </c>
      <c r="I50" t="s">
        <v>220</v>
      </c>
      <c r="J50" t="s">
        <v>221</v>
      </c>
      <c r="K50">
        <v>3</v>
      </c>
      <c r="L50">
        <v>1</v>
      </c>
      <c r="M50">
        <v>1</v>
      </c>
      <c r="N50" s="3">
        <v>3.2490692502941343</v>
      </c>
    </row>
    <row r="51" spans="1:14" x14ac:dyDescent="0.35">
      <c r="A51">
        <v>3</v>
      </c>
      <c r="B51">
        <v>5700</v>
      </c>
      <c r="C51" t="s">
        <v>216</v>
      </c>
      <c r="D51" t="s">
        <v>162</v>
      </c>
      <c r="E51">
        <v>2</v>
      </c>
      <c r="F51" t="s">
        <v>222</v>
      </c>
      <c r="G51" t="s">
        <v>167</v>
      </c>
      <c r="H51" t="s">
        <v>90</v>
      </c>
      <c r="I51" t="s">
        <v>223</v>
      </c>
      <c r="J51" t="s">
        <v>224</v>
      </c>
      <c r="K51">
        <v>0</v>
      </c>
      <c r="L51">
        <v>0</v>
      </c>
      <c r="M51">
        <v>0</v>
      </c>
      <c r="N51" s="3">
        <v>0.63834809663330994</v>
      </c>
    </row>
    <row r="52" spans="1:14" x14ac:dyDescent="0.35">
      <c r="A52">
        <v>4</v>
      </c>
      <c r="B52">
        <v>13700</v>
      </c>
      <c r="C52" t="s">
        <v>216</v>
      </c>
      <c r="D52" t="s">
        <v>162</v>
      </c>
      <c r="E52">
        <v>4</v>
      </c>
      <c r="F52" t="s">
        <v>225</v>
      </c>
      <c r="G52" t="s">
        <v>167</v>
      </c>
      <c r="H52" t="s">
        <v>91</v>
      </c>
      <c r="I52" t="s">
        <v>226</v>
      </c>
      <c r="J52" t="s">
        <v>227</v>
      </c>
      <c r="K52">
        <v>8</v>
      </c>
      <c r="L52">
        <v>1</v>
      </c>
      <c r="M52">
        <v>0</v>
      </c>
      <c r="N52" s="3">
        <v>3.4112137767559791</v>
      </c>
    </row>
    <row r="53" spans="1:14" x14ac:dyDescent="0.35">
      <c r="A53">
        <v>5</v>
      </c>
      <c r="B53">
        <v>3400</v>
      </c>
      <c r="C53" t="s">
        <v>216</v>
      </c>
      <c r="D53" t="s">
        <v>162</v>
      </c>
      <c r="E53">
        <v>2</v>
      </c>
      <c r="F53" t="s">
        <v>228</v>
      </c>
      <c r="G53" t="s">
        <v>167</v>
      </c>
      <c r="H53" t="s">
        <v>92</v>
      </c>
      <c r="I53" t="s">
        <v>229</v>
      </c>
      <c r="J53" t="s">
        <v>230</v>
      </c>
      <c r="K53">
        <v>2</v>
      </c>
      <c r="L53">
        <v>1</v>
      </c>
      <c r="M53">
        <v>0</v>
      </c>
      <c r="N53" s="3">
        <v>2.5432947703315723</v>
      </c>
    </row>
    <row r="54" spans="1:14" x14ac:dyDescent="0.35">
      <c r="A54" t="s">
        <v>231</v>
      </c>
      <c r="B54">
        <v>575</v>
      </c>
      <c r="C54" t="s">
        <v>216</v>
      </c>
      <c r="D54" t="s">
        <v>196</v>
      </c>
      <c r="E54">
        <v>2</v>
      </c>
      <c r="F54" t="s">
        <v>108</v>
      </c>
      <c r="G54" t="s">
        <v>232</v>
      </c>
      <c r="H54" t="s">
        <v>93</v>
      </c>
      <c r="I54" t="s">
        <v>233</v>
      </c>
      <c r="J54" t="s">
        <v>234</v>
      </c>
      <c r="K54">
        <v>5</v>
      </c>
      <c r="L54">
        <v>2</v>
      </c>
      <c r="M54">
        <v>0</v>
      </c>
      <c r="N54" s="3">
        <v>1.0000286322457714</v>
      </c>
    </row>
    <row r="55" spans="1:14" x14ac:dyDescent="0.35">
      <c r="A55" t="s">
        <v>231</v>
      </c>
      <c r="B55">
        <v>1750</v>
      </c>
      <c r="C55" t="s">
        <v>216</v>
      </c>
      <c r="D55" t="s">
        <v>196</v>
      </c>
      <c r="E55">
        <v>2</v>
      </c>
      <c r="F55" t="s">
        <v>108</v>
      </c>
      <c r="G55" t="s">
        <v>235</v>
      </c>
      <c r="H55" t="s">
        <v>94</v>
      </c>
      <c r="I55" t="s">
        <v>224</v>
      </c>
      <c r="J55" t="s">
        <v>236</v>
      </c>
      <c r="K55">
        <v>4</v>
      </c>
      <c r="L55">
        <v>1</v>
      </c>
      <c r="M55">
        <v>0</v>
      </c>
      <c r="N55" s="3">
        <v>2.0041666989239526</v>
      </c>
    </row>
    <row r="56" spans="1:14" x14ac:dyDescent="0.35">
      <c r="A56" t="s">
        <v>231</v>
      </c>
      <c r="B56">
        <v>2450</v>
      </c>
      <c r="C56" t="s">
        <v>216</v>
      </c>
      <c r="D56" t="s">
        <v>162</v>
      </c>
      <c r="E56">
        <v>2</v>
      </c>
      <c r="F56" t="s">
        <v>237</v>
      </c>
      <c r="G56" t="s">
        <v>167</v>
      </c>
      <c r="H56" t="s">
        <v>95</v>
      </c>
      <c r="I56" t="s">
        <v>238</v>
      </c>
      <c r="J56" t="s">
        <v>239</v>
      </c>
      <c r="K56">
        <v>1</v>
      </c>
      <c r="L56">
        <v>0</v>
      </c>
      <c r="M56">
        <v>0</v>
      </c>
      <c r="N56" s="3">
        <v>5.8727562607009814E-2</v>
      </c>
    </row>
    <row r="57" spans="1:14" x14ac:dyDescent="0.35">
      <c r="A57" t="s">
        <v>231</v>
      </c>
      <c r="B57">
        <v>3100</v>
      </c>
      <c r="C57" t="s">
        <v>216</v>
      </c>
      <c r="D57" t="s">
        <v>162</v>
      </c>
      <c r="E57">
        <v>2</v>
      </c>
      <c r="F57" t="s">
        <v>108</v>
      </c>
      <c r="G57" t="s">
        <v>167</v>
      </c>
      <c r="H57" t="s">
        <v>96</v>
      </c>
      <c r="I57" t="s">
        <v>240</v>
      </c>
      <c r="J57" t="s">
        <v>241</v>
      </c>
      <c r="K57">
        <v>1</v>
      </c>
      <c r="L57">
        <v>1</v>
      </c>
      <c r="M57">
        <v>0</v>
      </c>
      <c r="N57" s="3">
        <v>1.7470038692289673</v>
      </c>
    </row>
    <row r="58" spans="1:14" x14ac:dyDescent="0.35">
      <c r="A58" t="s">
        <v>231</v>
      </c>
      <c r="B58">
        <v>1750</v>
      </c>
      <c r="C58" t="s">
        <v>216</v>
      </c>
      <c r="D58" t="s">
        <v>162</v>
      </c>
      <c r="E58">
        <v>2</v>
      </c>
      <c r="F58" t="s">
        <v>108</v>
      </c>
      <c r="G58" t="s">
        <v>167</v>
      </c>
      <c r="H58" t="s">
        <v>97</v>
      </c>
      <c r="I58" t="s">
        <v>242</v>
      </c>
      <c r="J58" t="s">
        <v>243</v>
      </c>
      <c r="K58">
        <v>7</v>
      </c>
      <c r="L58">
        <v>1</v>
      </c>
      <c r="M58">
        <v>0</v>
      </c>
      <c r="N58" s="3">
        <v>4.5036731161732009</v>
      </c>
    </row>
    <row r="59" spans="1:14" x14ac:dyDescent="0.35">
      <c r="A59" t="s">
        <v>231</v>
      </c>
      <c r="B59">
        <v>5600</v>
      </c>
      <c r="C59" t="s">
        <v>216</v>
      </c>
      <c r="D59" t="s">
        <v>202</v>
      </c>
      <c r="E59">
        <v>2</v>
      </c>
      <c r="F59" t="s">
        <v>225</v>
      </c>
      <c r="G59" t="s">
        <v>244</v>
      </c>
      <c r="H59" t="s">
        <v>98</v>
      </c>
      <c r="I59" t="s">
        <v>224</v>
      </c>
      <c r="J59" t="s">
        <v>245</v>
      </c>
      <c r="K59">
        <v>2</v>
      </c>
      <c r="L59">
        <v>0</v>
      </c>
      <c r="M59">
        <v>0</v>
      </c>
      <c r="N59" s="3">
        <v>6.5738159244856181E-2</v>
      </c>
    </row>
    <row r="60" spans="1:14" x14ac:dyDescent="0.35">
      <c r="A60" t="s">
        <v>231</v>
      </c>
      <c r="B60">
        <v>550</v>
      </c>
      <c r="C60" t="s">
        <v>216</v>
      </c>
      <c r="D60" t="s">
        <v>202</v>
      </c>
      <c r="E60">
        <v>2</v>
      </c>
      <c r="F60" t="s">
        <v>108</v>
      </c>
      <c r="G60" t="s">
        <v>235</v>
      </c>
      <c r="H60" t="s">
        <v>99</v>
      </c>
      <c r="I60" t="s">
        <v>246</v>
      </c>
      <c r="J60" t="s">
        <v>247</v>
      </c>
      <c r="K60">
        <v>1</v>
      </c>
      <c r="L60">
        <v>1</v>
      </c>
      <c r="M60">
        <v>0</v>
      </c>
      <c r="N60" s="3">
        <v>1.0473057322734161</v>
      </c>
    </row>
    <row r="61" spans="1:14" x14ac:dyDescent="0.35">
      <c r="A61" t="s">
        <v>231</v>
      </c>
      <c r="B61">
        <v>4150</v>
      </c>
      <c r="C61" t="s">
        <v>216</v>
      </c>
      <c r="D61" t="s">
        <v>166</v>
      </c>
      <c r="E61">
        <v>2</v>
      </c>
      <c r="F61" t="s">
        <v>248</v>
      </c>
      <c r="G61" t="s">
        <v>167</v>
      </c>
      <c r="H61" t="s">
        <v>100</v>
      </c>
      <c r="I61" t="s">
        <v>249</v>
      </c>
      <c r="J61" t="s">
        <v>250</v>
      </c>
      <c r="K61">
        <v>1</v>
      </c>
      <c r="L61">
        <v>1</v>
      </c>
      <c r="M61">
        <v>1</v>
      </c>
      <c r="N61" s="3">
        <v>3.0252626040563753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39DCA-E313-4380-AE48-132339BE4121}">
  <dimension ref="A1:B4"/>
  <sheetViews>
    <sheetView workbookViewId="0">
      <selection activeCell="F20" sqref="F20"/>
    </sheetView>
  </sheetViews>
  <sheetFormatPr defaultRowHeight="14.5" x14ac:dyDescent="0.35"/>
  <cols>
    <col min="1" max="1" width="48.7265625" bestFit="1" customWidth="1"/>
    <col min="2" max="2" width="13.54296875" bestFit="1" customWidth="1"/>
  </cols>
  <sheetData>
    <row r="1" spans="1:2" x14ac:dyDescent="0.35">
      <c r="A1" t="s">
        <v>251</v>
      </c>
      <c r="B1" s="4">
        <v>8430752</v>
      </c>
    </row>
    <row r="2" spans="1:2" x14ac:dyDescent="0.35">
      <c r="A2" t="s">
        <v>252</v>
      </c>
      <c r="B2" s="5">
        <v>454249</v>
      </c>
    </row>
    <row r="4" spans="1:2" x14ac:dyDescent="0.35">
      <c r="A4" t="s">
        <v>253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User Guide (READ FIRST)</vt:lpstr>
      <vt:lpstr>BCA TriCounty</vt:lpstr>
      <vt:lpstr>BCA Peoria</vt:lpstr>
      <vt:lpstr>BCA Tazewell</vt:lpstr>
      <vt:lpstr>BCA Woodford</vt:lpstr>
      <vt:lpstr>Improvement Types</vt:lpstr>
      <vt:lpstr>Crash Data</vt:lpstr>
      <vt:lpstr>Crash Costs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Austin Shwatal</dc:creator>
  <cp:keywords/>
  <dc:description/>
  <cp:lastModifiedBy>Michael Bruner</cp:lastModifiedBy>
  <cp:revision/>
  <dcterms:created xsi:type="dcterms:W3CDTF">2025-05-12T18:59:14Z</dcterms:created>
  <dcterms:modified xsi:type="dcterms:W3CDTF">2025-08-05T16:20:17Z</dcterms:modified>
  <cp:category/>
  <cp:contentStatus/>
</cp:coreProperties>
</file>